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odnanysrs-my.sharepoint.com/personal/rybarskaskola_srs-vodnany_cz/Documents/Společná ekonomika/INVESTIČNÍ AKCE (nad 100 000 Kč)/2025/Handšuch - oprava hráze rybník Zbytek (ŠP 2025)/2. Smlouva/"/>
    </mc:Choice>
  </mc:AlternateContent>
  <xr:revisionPtr revIDLastSave="4" documentId="13_ncr:1_{DFCDC15B-670A-497C-AB9C-2C18CEDD46E4}" xr6:coauthVersionLast="47" xr6:coauthVersionMax="47" xr10:uidLastSave="{FC16068D-407E-4398-92D6-9B05ECBCADB8}"/>
  <bookViews>
    <workbookView xWindow="-108" yWindow="-108" windowWidth="30936" windowHeight="16896" xr2:uid="{00000000-000D-0000-FFFF-FFFF00000000}"/>
  </bookViews>
  <sheets>
    <sheet name="Stavební rozpočet" sheetId="1" r:id="rId1"/>
    <sheet name="Krycí list rozpočtu" sheetId="2" r:id="rId2"/>
    <sheet name="VORN" sheetId="3" state="hidden" r:id="rId3"/>
  </sheets>
  <definedNames>
    <definedName name="vorn_sum">VORN!$I$36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5" i="3" l="1"/>
  <c r="I36" i="3" s="1"/>
  <c r="I24" i="2" s="1"/>
  <c r="I26" i="3"/>
  <c r="I25" i="3"/>
  <c r="I24" i="3"/>
  <c r="I23" i="3"/>
  <c r="I16" i="2" s="1"/>
  <c r="I22" i="3"/>
  <c r="I21" i="3"/>
  <c r="I17" i="3"/>
  <c r="I16" i="3"/>
  <c r="I15" i="3"/>
  <c r="I18" i="3" s="1"/>
  <c r="I10" i="3"/>
  <c r="F10" i="3"/>
  <c r="C10" i="3"/>
  <c r="F8" i="3"/>
  <c r="C8" i="3"/>
  <c r="F6" i="3"/>
  <c r="C6" i="3"/>
  <c r="F4" i="3"/>
  <c r="C4" i="3"/>
  <c r="F2" i="3"/>
  <c r="C2" i="3"/>
  <c r="I19" i="2"/>
  <c r="I18" i="2"/>
  <c r="I17" i="2"/>
  <c r="F16" i="2"/>
  <c r="F22" i="2" s="1"/>
  <c r="I15" i="2"/>
  <c r="F15" i="2"/>
  <c r="I14" i="2"/>
  <c r="F14" i="2"/>
  <c r="I10" i="2"/>
  <c r="F10" i="2"/>
  <c r="C10" i="2"/>
  <c r="F8" i="2"/>
  <c r="C8" i="2"/>
  <c r="F6" i="2"/>
  <c r="C6" i="2"/>
  <c r="F4" i="2"/>
  <c r="C4" i="2"/>
  <c r="F2" i="2"/>
  <c r="C2" i="2"/>
  <c r="BW25" i="1"/>
  <c r="BJ25" i="1"/>
  <c r="BD25" i="1"/>
  <c r="AP25" i="1"/>
  <c r="BI25" i="1" s="1"/>
  <c r="AO25" i="1"/>
  <c r="AW25" i="1" s="1"/>
  <c r="AK25" i="1"/>
  <c r="AJ25" i="1"/>
  <c r="AH25" i="1"/>
  <c r="AG25" i="1"/>
  <c r="AF25" i="1"/>
  <c r="AE25" i="1"/>
  <c r="AD25" i="1"/>
  <c r="AC25" i="1"/>
  <c r="AB25" i="1"/>
  <c r="Z25" i="1"/>
  <c r="O25" i="1"/>
  <c r="BF25" i="1" s="1"/>
  <c r="M25" i="1"/>
  <c r="L25" i="1"/>
  <c r="AL25" i="1" s="1"/>
  <c r="K25" i="1"/>
  <c r="J25" i="1"/>
  <c r="BW24" i="1"/>
  <c r="BJ24" i="1"/>
  <c r="BD24" i="1"/>
  <c r="AP24" i="1"/>
  <c r="BI24" i="1" s="1"/>
  <c r="AO24" i="1"/>
  <c r="BH24" i="1" s="1"/>
  <c r="AL24" i="1"/>
  <c r="AK24" i="1"/>
  <c r="AJ24" i="1"/>
  <c r="AS23" i="1" s="1"/>
  <c r="AH24" i="1"/>
  <c r="AG24" i="1"/>
  <c r="AF24" i="1"/>
  <c r="AE24" i="1"/>
  <c r="AD24" i="1"/>
  <c r="AC24" i="1"/>
  <c r="AB24" i="1"/>
  <c r="Z24" i="1"/>
  <c r="O24" i="1"/>
  <c r="O23" i="1" s="1"/>
  <c r="M24" i="1"/>
  <c r="M23" i="1" s="1"/>
  <c r="L24" i="1"/>
  <c r="K24" i="1"/>
  <c r="K23" i="1" s="1"/>
  <c r="J24" i="1"/>
  <c r="J23" i="1" s="1"/>
  <c r="AT23" i="1"/>
  <c r="L23" i="1"/>
  <c r="BW22" i="1"/>
  <c r="BJ22" i="1"/>
  <c r="BD22" i="1"/>
  <c r="AW22" i="1"/>
  <c r="AP22" i="1"/>
  <c r="BI22" i="1" s="1"/>
  <c r="AO22" i="1"/>
  <c r="BH22" i="1" s="1"/>
  <c r="AL22" i="1"/>
  <c r="AU21" i="1" s="1"/>
  <c r="AK22" i="1"/>
  <c r="AJ22" i="1"/>
  <c r="AH22" i="1"/>
  <c r="AG22" i="1"/>
  <c r="AF22" i="1"/>
  <c r="AE22" i="1"/>
  <c r="AD22" i="1"/>
  <c r="AC22" i="1"/>
  <c r="AB22" i="1"/>
  <c r="Z22" i="1"/>
  <c r="O22" i="1"/>
  <c r="BF22" i="1" s="1"/>
  <c r="M22" i="1"/>
  <c r="L22" i="1"/>
  <c r="J22" i="1"/>
  <c r="J21" i="1" s="1"/>
  <c r="AT21" i="1"/>
  <c r="AS21" i="1"/>
  <c r="O21" i="1"/>
  <c r="M21" i="1"/>
  <c r="L21" i="1"/>
  <c r="BW20" i="1"/>
  <c r="BJ20" i="1"/>
  <c r="BD20" i="1"/>
  <c r="AP20" i="1"/>
  <c r="BI20" i="1" s="1"/>
  <c r="AC20" i="1" s="1"/>
  <c r="AO20" i="1"/>
  <c r="BH20" i="1" s="1"/>
  <c r="AB20" i="1" s="1"/>
  <c r="AK20" i="1"/>
  <c r="AT18" i="1" s="1"/>
  <c r="AJ20" i="1"/>
  <c r="AH20" i="1"/>
  <c r="AG20" i="1"/>
  <c r="AF20" i="1"/>
  <c r="AE20" i="1"/>
  <c r="AD20" i="1"/>
  <c r="Z20" i="1"/>
  <c r="O20" i="1"/>
  <c r="BF20" i="1" s="1"/>
  <c r="L20" i="1"/>
  <c r="M20" i="1" s="1"/>
  <c r="K20" i="1"/>
  <c r="BW19" i="1"/>
  <c r="M19" i="1" s="1"/>
  <c r="M18" i="1" s="1"/>
  <c r="BJ19" i="1"/>
  <c r="BF19" i="1"/>
  <c r="BD19" i="1"/>
  <c r="AP19" i="1"/>
  <c r="BI19" i="1" s="1"/>
  <c r="AC19" i="1" s="1"/>
  <c r="AO19" i="1"/>
  <c r="BH19" i="1" s="1"/>
  <c r="AB19" i="1" s="1"/>
  <c r="AL19" i="1"/>
  <c r="AK19" i="1"/>
  <c r="AJ19" i="1"/>
  <c r="AS18" i="1" s="1"/>
  <c r="AH19" i="1"/>
  <c r="AG19" i="1"/>
  <c r="AF19" i="1"/>
  <c r="AE19" i="1"/>
  <c r="AD19" i="1"/>
  <c r="Z19" i="1"/>
  <c r="O19" i="1"/>
  <c r="L19" i="1"/>
  <c r="L18" i="1" s="1"/>
  <c r="K19" i="1"/>
  <c r="J19" i="1"/>
  <c r="O18" i="1"/>
  <c r="K18" i="1"/>
  <c r="BW17" i="1"/>
  <c r="BJ17" i="1"/>
  <c r="BD17" i="1"/>
  <c r="AW17" i="1"/>
  <c r="AP17" i="1"/>
  <c r="BI17" i="1" s="1"/>
  <c r="AC17" i="1" s="1"/>
  <c r="AO17" i="1"/>
  <c r="BH17" i="1" s="1"/>
  <c r="AB17" i="1" s="1"/>
  <c r="AK17" i="1"/>
  <c r="AT16" i="1" s="1"/>
  <c r="AJ17" i="1"/>
  <c r="AS16" i="1" s="1"/>
  <c r="AH17" i="1"/>
  <c r="AG17" i="1"/>
  <c r="AF17" i="1"/>
  <c r="AE17" i="1"/>
  <c r="AD17" i="1"/>
  <c r="Z17" i="1"/>
  <c r="O17" i="1"/>
  <c r="O16" i="1" s="1"/>
  <c r="L17" i="1"/>
  <c r="L16" i="1" s="1"/>
  <c r="K17" i="1"/>
  <c r="J17" i="1"/>
  <c r="J16" i="1" s="1"/>
  <c r="K16" i="1"/>
  <c r="BW15" i="1"/>
  <c r="BJ15" i="1"/>
  <c r="BF15" i="1"/>
  <c r="BD15" i="1"/>
  <c r="AW15" i="1"/>
  <c r="AP15" i="1"/>
  <c r="BI15" i="1" s="1"/>
  <c r="AC15" i="1" s="1"/>
  <c r="AO15" i="1"/>
  <c r="BH15" i="1" s="1"/>
  <c r="AB15" i="1" s="1"/>
  <c r="AK15" i="1"/>
  <c r="AJ15" i="1"/>
  <c r="AH15" i="1"/>
  <c r="AG15" i="1"/>
  <c r="AF15" i="1"/>
  <c r="AE15" i="1"/>
  <c r="AD15" i="1"/>
  <c r="Z15" i="1"/>
  <c r="O15" i="1"/>
  <c r="M15" i="1"/>
  <c r="M14" i="1" s="1"/>
  <c r="L15" i="1"/>
  <c r="AL15" i="1" s="1"/>
  <c r="AU14" i="1" s="1"/>
  <c r="J15" i="1"/>
  <c r="J14" i="1" s="1"/>
  <c r="AT14" i="1"/>
  <c r="AS14" i="1"/>
  <c r="O14" i="1"/>
  <c r="BW13" i="1"/>
  <c r="BJ13" i="1"/>
  <c r="BD13" i="1"/>
  <c r="AP13" i="1"/>
  <c r="BI13" i="1" s="1"/>
  <c r="AC13" i="1" s="1"/>
  <c r="AO13" i="1"/>
  <c r="BH13" i="1" s="1"/>
  <c r="AB13" i="1" s="1"/>
  <c r="C14" i="2" s="1"/>
  <c r="AK13" i="1"/>
  <c r="AJ13" i="1"/>
  <c r="AH13" i="1"/>
  <c r="C20" i="2" s="1"/>
  <c r="AG13" i="1"/>
  <c r="AF13" i="1"/>
  <c r="C18" i="2" s="1"/>
  <c r="AE13" i="1"/>
  <c r="AD13" i="1"/>
  <c r="Z13" i="1"/>
  <c r="O13" i="1"/>
  <c r="BF13" i="1" s="1"/>
  <c r="L13" i="1"/>
  <c r="M13" i="1" s="1"/>
  <c r="M12" i="1" s="1"/>
  <c r="J13" i="1"/>
  <c r="AT12" i="1"/>
  <c r="AS12" i="1"/>
  <c r="O12" i="1"/>
  <c r="L12" i="1"/>
  <c r="J12" i="1"/>
  <c r="AU1" i="1"/>
  <c r="AT1" i="1"/>
  <c r="AS1" i="1"/>
  <c r="C28" i="2" l="1"/>
  <c r="L14" i="1"/>
  <c r="L26" i="1" s="1"/>
  <c r="L28" i="1" s="1"/>
  <c r="AL17" i="1"/>
  <c r="AU16" i="1" s="1"/>
  <c r="AU23" i="1"/>
  <c r="C29" i="2"/>
  <c r="F29" i="2" s="1"/>
  <c r="J20" i="1"/>
  <c r="J18" i="1" s="1"/>
  <c r="K13" i="1"/>
  <c r="K12" i="1" s="1"/>
  <c r="AL13" i="1"/>
  <c r="AU12" i="1" s="1"/>
  <c r="M17" i="1"/>
  <c r="M16" i="1" s="1"/>
  <c r="M26" i="1" s="1"/>
  <c r="AL20" i="1"/>
  <c r="AU18" i="1" s="1"/>
  <c r="AW13" i="1"/>
  <c r="BF17" i="1"/>
  <c r="AW20" i="1"/>
  <c r="I27" i="3"/>
  <c r="F29" i="3" s="1"/>
  <c r="C21" i="2"/>
  <c r="AW24" i="1"/>
  <c r="C16" i="2"/>
  <c r="K15" i="1"/>
  <c r="K14" i="1" s="1"/>
  <c r="K22" i="1"/>
  <c r="K21" i="1" s="1"/>
  <c r="I22" i="2"/>
  <c r="C17" i="2"/>
  <c r="AW19" i="1"/>
  <c r="BF24" i="1"/>
  <c r="C19" i="2"/>
  <c r="AV19" i="1"/>
  <c r="AV20" i="1"/>
  <c r="C15" i="2"/>
  <c r="AV25" i="1"/>
  <c r="BC25" i="1"/>
  <c r="C30" i="2"/>
  <c r="F30" i="2" s="1"/>
  <c r="AX13" i="1"/>
  <c r="BC13" i="1" s="1"/>
  <c r="AX15" i="1"/>
  <c r="BC15" i="1" s="1"/>
  <c r="AX17" i="1"/>
  <c r="BC17" i="1" s="1"/>
  <c r="AX19" i="1"/>
  <c r="BC19" i="1" s="1"/>
  <c r="AX20" i="1"/>
  <c r="BC20" i="1" s="1"/>
  <c r="AX22" i="1"/>
  <c r="BC22" i="1" s="1"/>
  <c r="AX24" i="1"/>
  <c r="AX25" i="1"/>
  <c r="BH25" i="1"/>
  <c r="C22" i="2" l="1"/>
  <c r="C24" i="2" s="1"/>
  <c r="AV13" i="1"/>
  <c r="BC24" i="1"/>
  <c r="AV22" i="1"/>
  <c r="AV24" i="1"/>
  <c r="AV17" i="1"/>
  <c r="AV15" i="1"/>
  <c r="I29" i="2"/>
  <c r="I30" i="2" s="1"/>
</calcChain>
</file>

<file path=xl/sharedStrings.xml><?xml version="1.0" encoding="utf-8"?>
<sst xmlns="http://schemas.openxmlformats.org/spreadsheetml/2006/main" count="408" uniqueCount="176">
  <si>
    <t>Stavební rozpočet</t>
  </si>
  <si>
    <t>Název stavby:</t>
  </si>
  <si>
    <t>Oprava hráze rybníčku</t>
  </si>
  <si>
    <t>Doba výstavby:</t>
  </si>
  <si>
    <t>30 dní</t>
  </si>
  <si>
    <t>Objednatel:</t>
  </si>
  <si>
    <t>SRŠ Vodňany</t>
  </si>
  <si>
    <t>Druh stavby:</t>
  </si>
  <si>
    <t xml:space="preserve"> </t>
  </si>
  <si>
    <t>Začátek výstavby:</t>
  </si>
  <si>
    <t>Projektant:</t>
  </si>
  <si>
    <t> </t>
  </si>
  <si>
    <t>Lokalita:</t>
  </si>
  <si>
    <t>Vodňany</t>
  </si>
  <si>
    <t>Konec výstavby:</t>
  </si>
  <si>
    <t>31.12.2025</t>
  </si>
  <si>
    <t>Zhotovitel:</t>
  </si>
  <si>
    <t>Aleš Handšuh- PROZEMP</t>
  </si>
  <si>
    <t>JKSO:</t>
  </si>
  <si>
    <t>Zpracováno dne:</t>
  </si>
  <si>
    <t>Zpracoval:</t>
  </si>
  <si>
    <t>Aleš Handšuh-PROZEMP</t>
  </si>
  <si>
    <t>Č</t>
  </si>
  <si>
    <t>Objekt</t>
  </si>
  <si>
    <t>Kód</t>
  </si>
  <si>
    <t>Zkrácený popis</t>
  </si>
  <si>
    <t>MJ</t>
  </si>
  <si>
    <t>Množství</t>
  </si>
  <si>
    <t>Cena/MJ</t>
  </si>
  <si>
    <t>Sazba DPH</t>
  </si>
  <si>
    <t>Náklady (Kč)</t>
  </si>
  <si>
    <t>Hmotnost (t)</t>
  </si>
  <si>
    <t>Cenová</t>
  </si>
  <si>
    <t>ISWORK</t>
  </si>
  <si>
    <t>GROUPCODE</t>
  </si>
  <si>
    <t>VATTAX</t>
  </si>
  <si>
    <t>Rozměry</t>
  </si>
  <si>
    <t>(Kč)</t>
  </si>
  <si>
    <t>Dodávka</t>
  </si>
  <si>
    <t>Montáž</t>
  </si>
  <si>
    <t>Celkem</t>
  </si>
  <si>
    <t>Celkem vč. DPH</t>
  </si>
  <si>
    <t>Jednot.</t>
  </si>
  <si>
    <t>soustava</t>
  </si>
  <si>
    <t>Přesuny</t>
  </si>
  <si>
    <t>Typ skupiny</t>
  </si>
  <si>
    <t>HSV mat</t>
  </si>
  <si>
    <t>HSV prac</t>
  </si>
  <si>
    <t>PSV mat</t>
  </si>
  <si>
    <t>PSV prac</t>
  </si>
  <si>
    <t>Mont mat</t>
  </si>
  <si>
    <t>Mont prac</t>
  </si>
  <si>
    <t>Ostatní mat.</t>
  </si>
  <si>
    <t>MAT</t>
  </si>
  <si>
    <t>WORK</t>
  </si>
  <si>
    <t>CELK</t>
  </si>
  <si>
    <t/>
  </si>
  <si>
    <t>17</t>
  </si>
  <si>
    <t>Konstrukce ze zemin</t>
  </si>
  <si>
    <t>1</t>
  </si>
  <si>
    <t>174100010RAD</t>
  </si>
  <si>
    <t>Zásyp jam, rýh a šachet sypaninou</t>
  </si>
  <si>
    <t>m3</t>
  </si>
  <si>
    <t>RTS I / 2025</t>
  </si>
  <si>
    <t>17_</t>
  </si>
  <si>
    <t>1_</t>
  </si>
  <si>
    <t>_</t>
  </si>
  <si>
    <t>27</t>
  </si>
  <si>
    <t>Základy</t>
  </si>
  <si>
    <t>2</t>
  </si>
  <si>
    <t>273320150RA0</t>
  </si>
  <si>
    <t>Základová deska ŽB z betonu C 25/30, včetně bednění</t>
  </si>
  <si>
    <t>27_</t>
  </si>
  <si>
    <t>2_</t>
  </si>
  <si>
    <t>32</t>
  </si>
  <si>
    <t>Zdi přehradní a opěrné</t>
  </si>
  <si>
    <t>3</t>
  </si>
  <si>
    <t>320101111R00</t>
  </si>
  <si>
    <t>Osazení bet.a ŽB prefabrikátů hmotnosti do 1000 kg</t>
  </si>
  <si>
    <t>32_</t>
  </si>
  <si>
    <t>3_</t>
  </si>
  <si>
    <t>46</t>
  </si>
  <si>
    <t>Zpevněné plochy (kromě vozovek a železničního svršku)</t>
  </si>
  <si>
    <t>4</t>
  </si>
  <si>
    <t>462511161R00</t>
  </si>
  <si>
    <t>Zához z lom.kamene tříd. do 80 kg bez výplně mezer</t>
  </si>
  <si>
    <t>46_</t>
  </si>
  <si>
    <t>4_</t>
  </si>
  <si>
    <t>5</t>
  </si>
  <si>
    <t>462511169R00</t>
  </si>
  <si>
    <t>Příplatek za urovnání líce záhozu,kameny do 80 kg</t>
  </si>
  <si>
    <t>m2</t>
  </si>
  <si>
    <t>H33</t>
  </si>
  <si>
    <t>Nádrže na tocích, úpravy toků a kanály</t>
  </si>
  <si>
    <t>6</t>
  </si>
  <si>
    <t>998332011R00</t>
  </si>
  <si>
    <t>Přesun hmot, úpravy toků a kanálů, hráze ostatní</t>
  </si>
  <si>
    <t>t</t>
  </si>
  <si>
    <t>H33_</t>
  </si>
  <si>
    <t>9_</t>
  </si>
  <si>
    <t>M</t>
  </si>
  <si>
    <t>Ostatní materiál</t>
  </si>
  <si>
    <t>7</t>
  </si>
  <si>
    <t>59226320</t>
  </si>
  <si>
    <t>Základová deska kbelu 1300 x 1300 x 250 mm</t>
  </si>
  <si>
    <t>kus</t>
  </si>
  <si>
    <t>0</t>
  </si>
  <si>
    <t>Z99999_</t>
  </si>
  <si>
    <t>Z_</t>
  </si>
  <si>
    <t>8</t>
  </si>
  <si>
    <t>59226311</t>
  </si>
  <si>
    <t>Kbel betonový 800 x 800 mm - uzavřený</t>
  </si>
  <si>
    <t>m</t>
  </si>
  <si>
    <t>Celkem před slevou:</t>
  </si>
  <si>
    <t>Celková sleva (%):</t>
  </si>
  <si>
    <t>Celkem po slevě:</t>
  </si>
  <si>
    <t>Poznámka:</t>
  </si>
  <si>
    <t>Krycí list rozpočtu</t>
  </si>
  <si>
    <t>IČO/DIČ:</t>
  </si>
  <si>
    <t>73504645/CZ8305111595</t>
  </si>
  <si>
    <t>Položek:</t>
  </si>
  <si>
    <t>Datum:</t>
  </si>
  <si>
    <t>Rozpočtové náklady v Kč</t>
  </si>
  <si>
    <t>A</t>
  </si>
  <si>
    <t>Základní rozpočtové náklady</t>
  </si>
  <si>
    <t>B</t>
  </si>
  <si>
    <t>Doplňkové náklady</t>
  </si>
  <si>
    <t>C</t>
  </si>
  <si>
    <t>Náklady na umístění stavby (NUS)</t>
  </si>
  <si>
    <t>HSV</t>
  </si>
  <si>
    <t>Dodávky</t>
  </si>
  <si>
    <t>Práce přesčas</t>
  </si>
  <si>
    <t>Zařízení staveniště</t>
  </si>
  <si>
    <t>Bez pevné podl.</t>
  </si>
  <si>
    <t>Mimostav. doprava</t>
  </si>
  <si>
    <t>PSV</t>
  </si>
  <si>
    <t>Kulturní památka</t>
  </si>
  <si>
    <t>Územní vlivy</t>
  </si>
  <si>
    <t>Provozní vlivy</t>
  </si>
  <si>
    <t>"M"</t>
  </si>
  <si>
    <t>Ostatní</t>
  </si>
  <si>
    <t>NUS z rozpočtu</t>
  </si>
  <si>
    <t>Přesun hmot a sutí</t>
  </si>
  <si>
    <t>ZRN před slevou</t>
  </si>
  <si>
    <t>DN celkem</t>
  </si>
  <si>
    <t>NUS celkem</t>
  </si>
  <si>
    <t>Sleva %</t>
  </si>
  <si>
    <t>DN celkem z obj.</t>
  </si>
  <si>
    <t>NUS celkem z obj.</t>
  </si>
  <si>
    <t>ZRN po slevě</t>
  </si>
  <si>
    <t>VORN celkem</t>
  </si>
  <si>
    <t>VORN celkem z obj.</t>
  </si>
  <si>
    <t>Základ 0%</t>
  </si>
  <si>
    <t>Základ 12%</t>
  </si>
  <si>
    <t>DPH 12%</t>
  </si>
  <si>
    <t>Celkem bez DPH</t>
  </si>
  <si>
    <t>Základ 21%</t>
  </si>
  <si>
    <t>DPH 21%</t>
  </si>
  <si>
    <t>Celkem včetně DPH</t>
  </si>
  <si>
    <t>Projektant</t>
  </si>
  <si>
    <t>Objednatel</t>
  </si>
  <si>
    <t>Zhotovitel</t>
  </si>
  <si>
    <t>Datum, razítko a podpis</t>
  </si>
  <si>
    <t>Vedlejší a ostatní rozpočtové náklady</t>
  </si>
  <si>
    <t>Vedlejší rozpočtové náklady VRN</t>
  </si>
  <si>
    <t>Doplňkové náklady DN</t>
  </si>
  <si>
    <t>Kč</t>
  </si>
  <si>
    <t>%</t>
  </si>
  <si>
    <t>Základna</t>
  </si>
  <si>
    <t>Celkem DN</t>
  </si>
  <si>
    <t>Celkem NUS</t>
  </si>
  <si>
    <t>Celkem VRN</t>
  </si>
  <si>
    <t>Ostatní rozpočtové náklady ORN</t>
  </si>
  <si>
    <t>Ostatní rozpočtové náklady (ORN)</t>
  </si>
  <si>
    <t>Celkem ORN</t>
  </si>
  <si>
    <t>po uzavření smlouvy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</si>
</sst>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  <charset val="1"/>
    </font>
    <font>
      <sz val="18"/>
      <color rgb="FF000000"/>
      <name val="Arial"/>
      <charset val="238"/>
    </font>
    <font>
      <b/>
      <sz val="10"/>
      <color rgb="FF000000"/>
      <name val="Arial"/>
      <charset val="238"/>
    </font>
    <font>
      <sz val="10"/>
      <color rgb="FF000000"/>
      <name val="Arial"/>
      <charset val="238"/>
    </font>
    <font>
      <i/>
      <sz val="8"/>
      <color rgb="FF000000"/>
      <name val="Arial"/>
      <charset val="238"/>
    </font>
    <font>
      <b/>
      <sz val="18"/>
      <color rgb="FF000000"/>
      <name val="Arial"/>
      <charset val="238"/>
    </font>
    <font>
      <b/>
      <sz val="20"/>
      <color rgb="FF000000"/>
      <name val="Arial"/>
      <charset val="238"/>
    </font>
    <font>
      <b/>
      <sz val="11"/>
      <color rgb="FF000000"/>
      <name val="Arial"/>
      <charset val="238"/>
    </font>
    <font>
      <b/>
      <sz val="12"/>
      <color rgb="FF000000"/>
      <name val="Arial"/>
      <charset val="238"/>
    </font>
    <font>
      <sz val="12"/>
      <color rgb="FF000000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8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59">
    <xf numFmtId="0" fontId="0" fillId="0" borderId="0" xfId="0"/>
    <xf numFmtId="4" fontId="2" fillId="2" borderId="0" xfId="0" applyNumberFormat="1" applyFont="1" applyFill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2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left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3" fillId="2" borderId="36" xfId="0" applyFont="1" applyFill="1" applyBorder="1" applyAlignment="1">
      <alignment horizontal="left" vertical="center"/>
    </xf>
    <xf numFmtId="0" fontId="2" fillId="2" borderId="37" xfId="0" applyFont="1" applyFill="1" applyBorder="1" applyAlignment="1">
      <alignment horizontal="left" vertical="center"/>
    </xf>
    <xf numFmtId="0" fontId="3" fillId="2" borderId="37" xfId="0" applyFont="1" applyFill="1" applyBorder="1" applyAlignment="1">
      <alignment horizontal="left" vertical="center"/>
    </xf>
    <xf numFmtId="4" fontId="2" fillId="2" borderId="37" xfId="0" applyNumberFormat="1" applyFont="1" applyFill="1" applyBorder="1" applyAlignment="1">
      <alignment horizontal="right" vertical="center"/>
    </xf>
    <xf numFmtId="0" fontId="2" fillId="2" borderId="37" xfId="0" applyFont="1" applyFill="1" applyBorder="1" applyAlignment="1">
      <alignment horizontal="right" vertical="center"/>
    </xf>
    <xf numFmtId="0" fontId="2" fillId="2" borderId="38" xfId="0" applyFont="1" applyFill="1" applyBorder="1" applyAlignment="1">
      <alignment horizontal="right" vertical="center"/>
    </xf>
    <xf numFmtId="4" fontId="3" fillId="0" borderId="0" xfId="0" applyNumberFormat="1" applyFont="1" applyAlignment="1">
      <alignment horizontal="right" vertical="center"/>
    </xf>
    <xf numFmtId="1" fontId="3" fillId="0" borderId="0" xfId="0" applyNumberFormat="1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2" borderId="5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2" fillId="2" borderId="6" xfId="0" applyFont="1" applyFill="1" applyBorder="1" applyAlignment="1">
      <alignment horizontal="right" vertical="center"/>
    </xf>
    <xf numFmtId="0" fontId="3" fillId="0" borderId="39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4" fontId="3" fillId="0" borderId="40" xfId="0" applyNumberFormat="1" applyFont="1" applyBorder="1" applyAlignment="1">
      <alignment horizontal="right" vertical="center"/>
    </xf>
    <xf numFmtId="1" fontId="3" fillId="0" borderId="40" xfId="0" applyNumberFormat="1" applyFont="1" applyBorder="1" applyAlignment="1">
      <alignment horizontal="right" vertical="center"/>
    </xf>
    <xf numFmtId="0" fontId="3" fillId="0" borderId="41" xfId="0" applyFont="1" applyBorder="1" applyAlignment="1">
      <alignment horizontal="right" vertical="center"/>
    </xf>
    <xf numFmtId="4" fontId="2" fillId="0" borderId="42" xfId="0" applyNumberFormat="1" applyFont="1" applyBorder="1" applyAlignment="1">
      <alignment horizontal="right" vertical="center"/>
    </xf>
    <xf numFmtId="4" fontId="2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8" fillId="0" borderId="48" xfId="0" applyFont="1" applyBorder="1" applyAlignment="1">
      <alignment horizontal="left" vertical="center"/>
    </xf>
    <xf numFmtId="0" fontId="9" fillId="0" borderId="49" xfId="0" applyFont="1" applyBorder="1" applyAlignment="1">
      <alignment horizontal="left" vertical="center"/>
    </xf>
    <xf numFmtId="4" fontId="9" fillId="0" borderId="49" xfId="0" applyNumberFormat="1" applyFont="1" applyBorder="1" applyAlignment="1">
      <alignment horizontal="right" vertical="center"/>
    </xf>
    <xf numFmtId="0" fontId="8" fillId="0" borderId="52" xfId="0" applyFont="1" applyBorder="1" applyAlignment="1">
      <alignment horizontal="left" vertical="center"/>
    </xf>
    <xf numFmtId="0" fontId="9" fillId="0" borderId="49" xfId="0" applyFont="1" applyBorder="1" applyAlignment="1">
      <alignment horizontal="right" vertical="center"/>
    </xf>
    <xf numFmtId="4" fontId="9" fillId="0" borderId="56" xfId="0" applyNumberFormat="1" applyFont="1" applyBorder="1" applyAlignment="1">
      <alignment horizontal="right" vertical="center"/>
    </xf>
    <xf numFmtId="0" fontId="9" fillId="0" borderId="56" xfId="0" applyFont="1" applyBorder="1" applyAlignment="1">
      <alignment horizontal="right" vertical="center"/>
    </xf>
    <xf numFmtId="4" fontId="9" fillId="0" borderId="47" xfId="0" applyNumberFormat="1" applyFont="1" applyBorder="1" applyAlignment="1">
      <alignment horizontal="right" vertical="center"/>
    </xf>
    <xf numFmtId="4" fontId="9" fillId="0" borderId="30" xfId="0" applyNumberFormat="1" applyFont="1" applyBorder="1" applyAlignment="1">
      <alignment horizontal="right" vertical="center"/>
    </xf>
    <xf numFmtId="4" fontId="8" fillId="2" borderId="46" xfId="0" applyNumberFormat="1" applyFont="1" applyFill="1" applyBorder="1" applyAlignment="1">
      <alignment horizontal="right" vertical="center"/>
    </xf>
    <xf numFmtId="4" fontId="8" fillId="2" borderId="51" xfId="0" applyNumberFormat="1" applyFont="1" applyFill="1" applyBorder="1" applyAlignment="1">
      <alignment horizontal="right" vertical="center"/>
    </xf>
    <xf numFmtId="0" fontId="4" fillId="0" borderId="37" xfId="0" applyFont="1" applyBorder="1" applyAlignment="1">
      <alignment horizontal="left" vertical="center"/>
    </xf>
    <xf numFmtId="0" fontId="2" fillId="0" borderId="19" xfId="0" applyFont="1" applyBorder="1" applyAlignment="1">
      <alignment horizontal="right" vertical="center"/>
    </xf>
    <xf numFmtId="4" fontId="3" fillId="0" borderId="49" xfId="0" applyNumberFormat="1" applyFont="1" applyBorder="1" applyAlignment="1">
      <alignment horizontal="right" vertical="center"/>
    </xf>
    <xf numFmtId="0" fontId="3" fillId="0" borderId="49" xfId="0" applyFont="1" applyBorder="1" applyAlignment="1">
      <alignment horizontal="left" vertical="center"/>
    </xf>
    <xf numFmtId="4" fontId="3" fillId="0" borderId="75" xfId="0" applyNumberFormat="1" applyFont="1" applyBorder="1" applyAlignment="1">
      <alignment horizontal="right" vertical="center"/>
    </xf>
    <xf numFmtId="0" fontId="3" fillId="0" borderId="75" xfId="0" applyFont="1" applyBorder="1" applyAlignment="1">
      <alignment horizontal="left" vertical="center"/>
    </xf>
    <xf numFmtId="0" fontId="2" fillId="0" borderId="79" xfId="0" applyFont="1" applyBorder="1" applyAlignment="1">
      <alignment horizontal="left" vertical="center"/>
    </xf>
    <xf numFmtId="0" fontId="2" fillId="0" borderId="79" xfId="0" applyFont="1" applyBorder="1" applyAlignment="1">
      <alignment horizontal="right" vertical="center"/>
    </xf>
    <xf numFmtId="4" fontId="2" fillId="0" borderId="79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40" xfId="0" applyFont="1" applyBorder="1" applyAlignment="1">
      <alignment horizontal="left" vertical="center" wrapText="1"/>
    </xf>
    <xf numFmtId="0" fontId="3" fillId="0" borderId="40" xfId="0" applyFont="1" applyBorder="1" applyAlignment="1">
      <alignment horizontal="left" vertical="center"/>
    </xf>
    <xf numFmtId="0" fontId="2" fillId="0" borderId="4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2" borderId="37" xfId="0" applyFont="1" applyFill="1" applyBorder="1" applyAlignment="1">
      <alignment horizontal="left" vertical="center" wrapText="1"/>
    </xf>
    <xf numFmtId="0" fontId="2" fillId="2" borderId="37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9" fillId="0" borderId="64" xfId="0" applyFont="1" applyBorder="1" applyAlignment="1">
      <alignment horizontal="left" vertical="center"/>
    </xf>
    <xf numFmtId="0" fontId="9" fillId="0" borderId="62" xfId="0" applyFont="1" applyBorder="1" applyAlignment="1">
      <alignment horizontal="left" vertical="center"/>
    </xf>
    <xf numFmtId="0" fontId="9" fillId="0" borderId="63" xfId="0" applyFont="1" applyBorder="1" applyAlignment="1">
      <alignment horizontal="left" vertical="center"/>
    </xf>
    <xf numFmtId="0" fontId="9" fillId="0" borderId="67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66" xfId="0" applyFont="1" applyBorder="1" applyAlignment="1">
      <alignment horizontal="left" vertical="center"/>
    </xf>
    <xf numFmtId="0" fontId="9" fillId="0" borderId="71" xfId="0" applyFont="1" applyBorder="1" applyAlignment="1">
      <alignment horizontal="left" vertical="center"/>
    </xf>
    <xf numFmtId="0" fontId="9" fillId="0" borderId="69" xfId="0" applyFont="1" applyBorder="1" applyAlignment="1">
      <alignment horizontal="left" vertical="center"/>
    </xf>
    <xf numFmtId="0" fontId="9" fillId="0" borderId="70" xfId="0" applyFont="1" applyBorder="1" applyAlignment="1">
      <alignment horizontal="left" vertical="center"/>
    </xf>
    <xf numFmtId="0" fontId="9" fillId="0" borderId="61" xfId="0" applyFont="1" applyBorder="1" applyAlignment="1">
      <alignment horizontal="left" vertical="center"/>
    </xf>
    <xf numFmtId="0" fontId="9" fillId="0" borderId="65" xfId="0" applyFont="1" applyBorder="1" applyAlignment="1">
      <alignment horizontal="left" vertical="center"/>
    </xf>
    <xf numFmtId="0" fontId="9" fillId="0" borderId="68" xfId="0" applyFont="1" applyBorder="1" applyAlignment="1">
      <alignment horizontal="left" vertical="center"/>
    </xf>
    <xf numFmtId="0" fontId="8" fillId="0" borderId="53" xfId="0" applyFont="1" applyBorder="1" applyAlignment="1">
      <alignment horizontal="left" vertical="center"/>
    </xf>
    <xf numFmtId="0" fontId="8" fillId="0" borderId="51" xfId="0" applyFont="1" applyBorder="1" applyAlignment="1">
      <alignment horizontal="left" vertical="center"/>
    </xf>
    <xf numFmtId="0" fontId="8" fillId="2" borderId="58" xfId="0" applyFont="1" applyFill="1" applyBorder="1" applyAlignment="1">
      <alignment horizontal="left" vertical="center"/>
    </xf>
    <xf numFmtId="0" fontId="8" fillId="2" borderId="59" xfId="0" applyFont="1" applyFill="1" applyBorder="1" applyAlignment="1">
      <alignment horizontal="left" vertical="center"/>
    </xf>
    <xf numFmtId="0" fontId="8" fillId="2" borderId="53" xfId="0" applyFont="1" applyFill="1" applyBorder="1" applyAlignment="1">
      <alignment horizontal="left" vertical="center"/>
    </xf>
    <xf numFmtId="0" fontId="8" fillId="2" borderId="60" xfId="0" applyFont="1" applyFill="1" applyBorder="1" applyAlignment="1">
      <alignment horizontal="left" vertical="center"/>
    </xf>
    <xf numFmtId="0" fontId="8" fillId="2" borderId="45" xfId="0" applyFont="1" applyFill="1" applyBorder="1" applyAlignment="1">
      <alignment horizontal="left" vertical="center"/>
    </xf>
    <xf numFmtId="0" fontId="8" fillId="2" borderId="50" xfId="0" applyFont="1" applyFill="1" applyBorder="1" applyAlignment="1">
      <alignment horizontal="left" vertical="center"/>
    </xf>
    <xf numFmtId="0" fontId="9" fillId="0" borderId="50" xfId="0" applyFont="1" applyBorder="1" applyAlignment="1">
      <alignment horizontal="left" vertical="center"/>
    </xf>
    <xf numFmtId="0" fontId="9" fillId="0" borderId="51" xfId="0" applyFont="1" applyBorder="1" applyAlignment="1">
      <alignment horizontal="left" vertical="center"/>
    </xf>
    <xf numFmtId="0" fontId="9" fillId="0" borderId="57" xfId="0" applyFont="1" applyBorder="1" applyAlignment="1">
      <alignment horizontal="left" vertical="center"/>
    </xf>
    <xf numFmtId="0" fontId="9" fillId="0" borderId="55" xfId="0" applyFont="1" applyBorder="1" applyAlignment="1">
      <alignment horizontal="left" vertical="center"/>
    </xf>
    <xf numFmtId="0" fontId="8" fillId="0" borderId="45" xfId="0" applyFont="1" applyBorder="1" applyAlignment="1">
      <alignment horizontal="left" vertical="center"/>
    </xf>
    <xf numFmtId="0" fontId="8" fillId="0" borderId="46" xfId="0" applyFont="1" applyBorder="1" applyAlignment="1">
      <alignment horizontal="left" vertical="center"/>
    </xf>
    <xf numFmtId="0" fontId="8" fillId="0" borderId="50" xfId="0" applyFont="1" applyBorder="1" applyAlignment="1">
      <alignment horizontal="left" vertical="center"/>
    </xf>
    <xf numFmtId="0" fontId="8" fillId="0" borderId="54" xfId="0" applyFont="1" applyBorder="1" applyAlignment="1">
      <alignment horizontal="left" vertical="center"/>
    </xf>
    <xf numFmtId="0" fontId="8" fillId="0" borderId="55" xfId="0" applyFont="1" applyBorder="1" applyAlignment="1">
      <alignment horizontal="left" vertical="center"/>
    </xf>
    <xf numFmtId="0" fontId="8" fillId="0" borderId="5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41" xfId="0" applyFont="1" applyBorder="1" applyAlignment="1">
      <alignment horizontal="left" vertical="center"/>
    </xf>
    <xf numFmtId="0" fontId="5" fillId="0" borderId="43" xfId="0" applyFont="1" applyBorder="1" applyAlignment="1">
      <alignment horizontal="center" vertical="center"/>
    </xf>
    <xf numFmtId="0" fontId="7" fillId="0" borderId="45" xfId="0" applyFont="1" applyBorder="1" applyAlignment="1">
      <alignment horizontal="left" vertical="center"/>
    </xf>
    <xf numFmtId="0" fontId="7" fillId="0" borderId="46" xfId="0" applyFont="1" applyBorder="1" applyAlignment="1">
      <alignment horizontal="left" vertical="center"/>
    </xf>
    <xf numFmtId="0" fontId="3" fillId="0" borderId="39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" fontId="3" fillId="0" borderId="6" xfId="0" applyNumberFormat="1" applyFont="1" applyBorder="1" applyAlignment="1">
      <alignment horizontal="left" vertical="center"/>
    </xf>
    <xf numFmtId="0" fontId="2" fillId="0" borderId="76" xfId="0" applyFont="1" applyBorder="1" applyAlignment="1">
      <alignment horizontal="left" vertical="center"/>
    </xf>
    <xf numFmtId="0" fontId="2" fillId="0" borderId="77" xfId="0" applyFont="1" applyBorder="1" applyAlignment="1">
      <alignment horizontal="left" vertical="center"/>
    </xf>
    <xf numFmtId="0" fontId="2" fillId="0" borderId="78" xfId="0" applyFont="1" applyBorder="1" applyAlignment="1">
      <alignment horizontal="left" vertical="center"/>
    </xf>
    <xf numFmtId="0" fontId="8" fillId="0" borderId="76" xfId="0" applyFont="1" applyBorder="1" applyAlignment="1">
      <alignment horizontal="left" vertical="center"/>
    </xf>
    <xf numFmtId="0" fontId="8" fillId="0" borderId="77" xfId="0" applyFont="1" applyBorder="1" applyAlignment="1">
      <alignment horizontal="left" vertical="center"/>
    </xf>
    <xf numFmtId="0" fontId="8" fillId="0" borderId="78" xfId="0" applyFont="1" applyBorder="1" applyAlignment="1">
      <alignment horizontal="left" vertical="center"/>
    </xf>
    <xf numFmtId="4" fontId="8" fillId="0" borderId="80" xfId="0" applyNumberFormat="1" applyFont="1" applyBorder="1" applyAlignment="1">
      <alignment horizontal="right" vertical="center"/>
    </xf>
    <xf numFmtId="0" fontId="8" fillId="0" borderId="77" xfId="0" applyFont="1" applyBorder="1" applyAlignment="1">
      <alignment horizontal="right" vertical="center"/>
    </xf>
    <xf numFmtId="0" fontId="8" fillId="0" borderId="78" xfId="0" applyFont="1" applyBorder="1" applyAlignment="1">
      <alignment horizontal="right" vertical="center"/>
    </xf>
    <xf numFmtId="0" fontId="8" fillId="0" borderId="8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3" fillId="0" borderId="72" xfId="0" applyFont="1" applyBorder="1" applyAlignment="1">
      <alignment horizontal="left" vertical="center"/>
    </xf>
    <xf numFmtId="0" fontId="3" fillId="0" borderId="73" xfId="0" applyFont="1" applyBorder="1" applyAlignment="1">
      <alignment horizontal="left" vertical="center"/>
    </xf>
    <xf numFmtId="0" fontId="3" fillId="0" borderId="74" xfId="0" applyFont="1" applyBorder="1" applyAlignment="1">
      <alignment horizontal="left" vertical="center"/>
    </xf>
    <xf numFmtId="0" fontId="3" fillId="0" borderId="53" xfId="0" applyFont="1" applyBorder="1" applyAlignment="1">
      <alignment horizontal="left" vertical="center"/>
    </xf>
    <xf numFmtId="0" fontId="3" fillId="0" borderId="60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666750" cy="666750"/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6750" cy="666750"/>
        </a:xfrm>
        <a:prstGeom prst="rect">
          <a:avLst/>
        </a:prstGeom>
        <a:noFill/>
        <a:ln w="9525">
          <a:noFill/>
        </a:ln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666750" cy="666750"/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6750" cy="666750"/>
        </a:xfrm>
        <a:prstGeom prst="rect">
          <a:avLst/>
        </a:prstGeom>
        <a:noFill/>
        <a:ln w="9525">
          <a:noFill/>
        </a:ln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666750" cy="666750"/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6750" cy="666750"/>
        </a:xfrm>
        <a:prstGeom prst="rect">
          <a:avLst/>
        </a:prstGeom>
        <a:noFill/>
        <a:ln w="9525">
          <a:noFill/>
        </a:ln>
      </xdr:spPr>
    </xdr:pic>
    <xdr:clientData/>
  </xdr:absolute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Z30"/>
  <sheetViews>
    <sheetView tabSelected="1" topLeftCell="E1" workbookViewId="0">
      <pane ySplit="11" topLeftCell="A12" activePane="bottomLeft" state="frozen"/>
      <selection pane="bottomLeft" activeCell="O27" sqref="O27"/>
    </sheetView>
  </sheetViews>
  <sheetFormatPr defaultColWidth="12.109375" defaultRowHeight="15" customHeight="1" x14ac:dyDescent="0.3"/>
  <cols>
    <col min="1" max="1" width="4" customWidth="1"/>
    <col min="2" max="2" width="7.5546875" customWidth="1"/>
    <col min="3" max="3" width="17.88671875" customWidth="1"/>
    <col min="4" max="4" width="28.5546875" customWidth="1"/>
    <col min="5" max="5" width="35.6640625" customWidth="1"/>
    <col min="6" max="6" width="5.109375" customWidth="1"/>
    <col min="7" max="7" width="12.88671875" customWidth="1"/>
    <col min="8" max="8" width="12" customWidth="1"/>
    <col min="9" max="9" width="11.109375" customWidth="1"/>
    <col min="10" max="13" width="15.6640625" customWidth="1"/>
    <col min="14" max="15" width="11.6640625" customWidth="1"/>
    <col min="16" max="16" width="17" customWidth="1"/>
    <col min="25" max="75" width="12.109375" hidden="1"/>
    <col min="76" max="76" width="64.33203125" hidden="1" customWidth="1"/>
    <col min="77" max="78" width="12.109375" hidden="1"/>
  </cols>
  <sheetData>
    <row r="1" spans="1:76" ht="54.75" customHeight="1" x14ac:dyDescent="0.3">
      <c r="A1" s="95" t="s">
        <v>0</v>
      </c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AS1" s="1">
        <f>SUM(AJ1:AJ2)</f>
        <v>0</v>
      </c>
      <c r="AT1" s="1">
        <f>SUM(AK1:AK2)</f>
        <v>0</v>
      </c>
      <c r="AU1" s="1">
        <f>SUM(AL1:AL2)</f>
        <v>0</v>
      </c>
    </row>
    <row r="2" spans="1:76" ht="14.4" x14ac:dyDescent="0.3">
      <c r="A2" s="96" t="s">
        <v>1</v>
      </c>
      <c r="B2" s="87"/>
      <c r="C2" s="87"/>
      <c r="D2" s="100" t="s">
        <v>2</v>
      </c>
      <c r="E2" s="101"/>
      <c r="F2" s="87" t="s">
        <v>3</v>
      </c>
      <c r="G2" s="87"/>
      <c r="H2" s="87" t="s">
        <v>4</v>
      </c>
      <c r="I2" s="86" t="s">
        <v>5</v>
      </c>
      <c r="J2" s="87"/>
      <c r="K2" s="86" t="s">
        <v>6</v>
      </c>
      <c r="L2" s="87"/>
      <c r="M2" s="87"/>
      <c r="N2" s="87"/>
      <c r="O2" s="87"/>
      <c r="P2" s="88"/>
    </row>
    <row r="3" spans="1:76" ht="14.4" x14ac:dyDescent="0.3">
      <c r="A3" s="97"/>
      <c r="B3" s="70"/>
      <c r="C3" s="70"/>
      <c r="D3" s="74"/>
      <c r="E3" s="74"/>
      <c r="F3" s="70"/>
      <c r="G3" s="70"/>
      <c r="H3" s="70"/>
      <c r="I3" s="70"/>
      <c r="J3" s="70"/>
      <c r="K3" s="70"/>
      <c r="L3" s="70"/>
      <c r="M3" s="70"/>
      <c r="N3" s="70"/>
      <c r="O3" s="70"/>
      <c r="P3" s="89"/>
    </row>
    <row r="4" spans="1:76" ht="14.4" x14ac:dyDescent="0.3">
      <c r="A4" s="98" t="s">
        <v>7</v>
      </c>
      <c r="B4" s="70"/>
      <c r="C4" s="70"/>
      <c r="D4" s="69" t="s">
        <v>8</v>
      </c>
      <c r="E4" s="70"/>
      <c r="F4" s="70" t="s">
        <v>9</v>
      </c>
      <c r="G4" s="70"/>
      <c r="H4" s="69" t="s">
        <v>175</v>
      </c>
      <c r="I4" s="69" t="s">
        <v>10</v>
      </c>
      <c r="J4" s="70"/>
      <c r="K4" s="70" t="s">
        <v>11</v>
      </c>
      <c r="L4" s="70"/>
      <c r="M4" s="70"/>
      <c r="N4" s="70"/>
      <c r="O4" s="70"/>
      <c r="P4" s="89"/>
    </row>
    <row r="5" spans="1:76" ht="14.4" x14ac:dyDescent="0.3">
      <c r="A5" s="97"/>
      <c r="B5" s="70"/>
      <c r="C5" s="70"/>
      <c r="D5" s="70"/>
      <c r="E5" s="70"/>
      <c r="F5" s="70"/>
      <c r="G5" s="70"/>
      <c r="H5" s="69"/>
      <c r="I5" s="70"/>
      <c r="J5" s="70"/>
      <c r="K5" s="70"/>
      <c r="L5" s="70"/>
      <c r="M5" s="70"/>
      <c r="N5" s="70"/>
      <c r="O5" s="70"/>
      <c r="P5" s="89"/>
    </row>
    <row r="6" spans="1:76" ht="14.4" x14ac:dyDescent="0.3">
      <c r="A6" s="98" t="s">
        <v>12</v>
      </c>
      <c r="B6" s="70"/>
      <c r="C6" s="70"/>
      <c r="D6" s="69" t="s">
        <v>13</v>
      </c>
      <c r="E6" s="70"/>
      <c r="F6" s="70" t="s">
        <v>14</v>
      </c>
      <c r="G6" s="70"/>
      <c r="H6" s="70" t="s">
        <v>15</v>
      </c>
      <c r="I6" s="69" t="s">
        <v>16</v>
      </c>
      <c r="J6" s="70"/>
      <c r="K6" s="69" t="s">
        <v>17</v>
      </c>
      <c r="L6" s="70"/>
      <c r="M6" s="70"/>
      <c r="N6" s="70"/>
      <c r="O6" s="70"/>
      <c r="P6" s="89"/>
    </row>
    <row r="7" spans="1:76" ht="14.4" x14ac:dyDescent="0.3">
      <c r="A7" s="97"/>
      <c r="B7" s="70"/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89"/>
    </row>
    <row r="8" spans="1:76" ht="14.4" x14ac:dyDescent="0.3">
      <c r="A8" s="98" t="s">
        <v>18</v>
      </c>
      <c r="B8" s="70"/>
      <c r="C8" s="70"/>
      <c r="D8" s="69" t="s">
        <v>8</v>
      </c>
      <c r="E8" s="70"/>
      <c r="F8" s="70" t="s">
        <v>19</v>
      </c>
      <c r="G8" s="70"/>
      <c r="H8" s="94">
        <v>45948</v>
      </c>
      <c r="I8" s="69" t="s">
        <v>20</v>
      </c>
      <c r="J8" s="70"/>
      <c r="K8" s="69" t="s">
        <v>21</v>
      </c>
      <c r="L8" s="70"/>
      <c r="M8" s="70"/>
      <c r="N8" s="70"/>
      <c r="O8" s="70"/>
      <c r="P8" s="89"/>
    </row>
    <row r="9" spans="1:76" ht="14.4" x14ac:dyDescent="0.3">
      <c r="A9" s="99"/>
      <c r="B9" s="90"/>
      <c r="C9" s="90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1"/>
    </row>
    <row r="10" spans="1:76" ht="14.4" x14ac:dyDescent="0.3">
      <c r="A10" s="5" t="s">
        <v>22</v>
      </c>
      <c r="B10" s="6" t="s">
        <v>23</v>
      </c>
      <c r="C10" s="6" t="s">
        <v>24</v>
      </c>
      <c r="D10" s="92" t="s">
        <v>25</v>
      </c>
      <c r="E10" s="93"/>
      <c r="F10" s="6" t="s">
        <v>26</v>
      </c>
      <c r="G10" s="7" t="s">
        <v>27</v>
      </c>
      <c r="H10" s="8" t="s">
        <v>28</v>
      </c>
      <c r="I10" s="9" t="s">
        <v>29</v>
      </c>
      <c r="J10" s="79" t="s">
        <v>30</v>
      </c>
      <c r="K10" s="80"/>
      <c r="L10" s="81"/>
      <c r="M10" s="10" t="s">
        <v>30</v>
      </c>
      <c r="N10" s="82" t="s">
        <v>31</v>
      </c>
      <c r="O10" s="83"/>
      <c r="P10" s="11" t="s">
        <v>32</v>
      </c>
      <c r="BK10" s="12" t="s">
        <v>33</v>
      </c>
      <c r="BL10" s="13" t="s">
        <v>34</v>
      </c>
      <c r="BW10" s="13" t="s">
        <v>35</v>
      </c>
    </row>
    <row r="11" spans="1:76" ht="14.4" x14ac:dyDescent="0.3">
      <c r="A11" s="14" t="s">
        <v>8</v>
      </c>
      <c r="B11" s="15" t="s">
        <v>8</v>
      </c>
      <c r="C11" s="15" t="s">
        <v>8</v>
      </c>
      <c r="D11" s="77" t="s">
        <v>36</v>
      </c>
      <c r="E11" s="78"/>
      <c r="F11" s="15" t="s">
        <v>8</v>
      </c>
      <c r="G11" s="15" t="s">
        <v>8</v>
      </c>
      <c r="H11" s="16" t="s">
        <v>37</v>
      </c>
      <c r="I11" s="17" t="s">
        <v>8</v>
      </c>
      <c r="J11" s="18" t="s">
        <v>38</v>
      </c>
      <c r="K11" s="19" t="s">
        <v>39</v>
      </c>
      <c r="L11" s="20" t="s">
        <v>40</v>
      </c>
      <c r="M11" s="21" t="s">
        <v>41</v>
      </c>
      <c r="N11" s="22" t="s">
        <v>42</v>
      </c>
      <c r="O11" s="23" t="s">
        <v>40</v>
      </c>
      <c r="P11" s="24" t="s">
        <v>43</v>
      </c>
      <c r="Z11" s="12" t="s">
        <v>44</v>
      </c>
      <c r="AA11" s="12" t="s">
        <v>45</v>
      </c>
      <c r="AB11" s="12" t="s">
        <v>46</v>
      </c>
      <c r="AC11" s="12" t="s">
        <v>47</v>
      </c>
      <c r="AD11" s="12" t="s">
        <v>48</v>
      </c>
      <c r="AE11" s="12" t="s">
        <v>49</v>
      </c>
      <c r="AF11" s="12" t="s">
        <v>50</v>
      </c>
      <c r="AG11" s="12" t="s">
        <v>51</v>
      </c>
      <c r="AH11" s="12" t="s">
        <v>52</v>
      </c>
      <c r="BH11" s="12" t="s">
        <v>53</v>
      </c>
      <c r="BI11" s="12" t="s">
        <v>54</v>
      </c>
      <c r="BJ11" s="12" t="s">
        <v>55</v>
      </c>
    </row>
    <row r="12" spans="1:76" ht="14.4" x14ac:dyDescent="0.3">
      <c r="A12" s="25" t="s">
        <v>56</v>
      </c>
      <c r="B12" s="26" t="s">
        <v>56</v>
      </c>
      <c r="C12" s="26" t="s">
        <v>57</v>
      </c>
      <c r="D12" s="84" t="s">
        <v>58</v>
      </c>
      <c r="E12" s="85"/>
      <c r="F12" s="27" t="s">
        <v>8</v>
      </c>
      <c r="G12" s="27" t="s">
        <v>8</v>
      </c>
      <c r="H12" s="27" t="s">
        <v>8</v>
      </c>
      <c r="I12" s="27" t="s">
        <v>8</v>
      </c>
      <c r="J12" s="28">
        <f>SUM(J13:J13)</f>
        <v>0</v>
      </c>
      <c r="K12" s="28">
        <f>SUM(K13:K13)</f>
        <v>38556.51</v>
      </c>
      <c r="L12" s="28">
        <f>SUM(L13:L13)</f>
        <v>38556.51</v>
      </c>
      <c r="M12" s="28">
        <f>SUM(M13:M13)</f>
        <v>46653.377099999998</v>
      </c>
      <c r="N12" s="29" t="s">
        <v>56</v>
      </c>
      <c r="O12" s="28">
        <f>SUM(O13:O13)</f>
        <v>0</v>
      </c>
      <c r="P12" s="30" t="s">
        <v>56</v>
      </c>
      <c r="AI12" s="12" t="s">
        <v>56</v>
      </c>
      <c r="AS12" s="1">
        <f>SUM(AJ13:AJ13)</f>
        <v>0</v>
      </c>
      <c r="AT12" s="1">
        <f>SUM(AK13:AK13)</f>
        <v>0</v>
      </c>
      <c r="AU12" s="1">
        <f>SUM(AL13:AL13)</f>
        <v>38556.51</v>
      </c>
    </row>
    <row r="13" spans="1:76" ht="14.4" x14ac:dyDescent="0.3">
      <c r="A13" s="2" t="s">
        <v>59</v>
      </c>
      <c r="B13" s="3" t="s">
        <v>56</v>
      </c>
      <c r="C13" s="3" t="s">
        <v>60</v>
      </c>
      <c r="D13" s="69" t="s">
        <v>61</v>
      </c>
      <c r="E13" s="70"/>
      <c r="F13" s="3" t="s">
        <v>62</v>
      </c>
      <c r="G13" s="31">
        <v>51</v>
      </c>
      <c r="H13" s="31">
        <v>756.01</v>
      </c>
      <c r="I13" s="32">
        <v>21</v>
      </c>
      <c r="J13" s="31">
        <f>ROUND(G13*AO13,2)</f>
        <v>0</v>
      </c>
      <c r="K13" s="31">
        <f>ROUND(G13*AP13,2)</f>
        <v>38556.51</v>
      </c>
      <c r="L13" s="31">
        <f>ROUND(G13*H13,2)</f>
        <v>38556.51</v>
      </c>
      <c r="M13" s="31">
        <f>L13*(1+BW13/100)</f>
        <v>46653.377099999998</v>
      </c>
      <c r="N13" s="31">
        <v>0</v>
      </c>
      <c r="O13" s="31">
        <f>G13*N13</f>
        <v>0</v>
      </c>
      <c r="P13" s="33" t="s">
        <v>63</v>
      </c>
      <c r="Z13" s="31">
        <f>ROUND(IF(AQ13="5",BJ13,0),2)</f>
        <v>0</v>
      </c>
      <c r="AB13" s="31">
        <f>ROUND(IF(AQ13="1",BH13,0),2)</f>
        <v>0</v>
      </c>
      <c r="AC13" s="31">
        <f>ROUND(IF(AQ13="1",BI13,0),2)</f>
        <v>38556.51</v>
      </c>
      <c r="AD13" s="31">
        <f>ROUND(IF(AQ13="7",BH13,0),2)</f>
        <v>0</v>
      </c>
      <c r="AE13" s="31">
        <f>ROUND(IF(AQ13="7",BI13,0),2)</f>
        <v>0</v>
      </c>
      <c r="AF13" s="31">
        <f>ROUND(IF(AQ13="2",BH13,0),2)</f>
        <v>0</v>
      </c>
      <c r="AG13" s="31">
        <f>ROUND(IF(AQ13="2",BI13,0),2)</f>
        <v>0</v>
      </c>
      <c r="AH13" s="31">
        <f>ROUND(IF(AQ13="0",BJ13,0),2)</f>
        <v>0</v>
      </c>
      <c r="AI13" s="12" t="s">
        <v>56</v>
      </c>
      <c r="AJ13" s="31">
        <f>IF(AN13=0,L13,0)</f>
        <v>0</v>
      </c>
      <c r="AK13" s="31">
        <f>IF(AN13=12,L13,0)</f>
        <v>0</v>
      </c>
      <c r="AL13" s="31">
        <f>IF(AN13=21,L13,0)</f>
        <v>38556.51</v>
      </c>
      <c r="AN13" s="31">
        <v>21</v>
      </c>
      <c r="AO13" s="31">
        <f>H13*0</f>
        <v>0</v>
      </c>
      <c r="AP13" s="31">
        <f>H13*(1-0)</f>
        <v>756.01</v>
      </c>
      <c r="AQ13" s="34" t="s">
        <v>59</v>
      </c>
      <c r="AV13" s="31">
        <f>ROUND(AW13+AX13,2)</f>
        <v>38556.51</v>
      </c>
      <c r="AW13" s="31">
        <f>ROUND(G13*AO13,2)</f>
        <v>0</v>
      </c>
      <c r="AX13" s="31">
        <f>ROUND(G13*AP13,2)</f>
        <v>38556.51</v>
      </c>
      <c r="AY13" s="34" t="s">
        <v>64</v>
      </c>
      <c r="AZ13" s="34" t="s">
        <v>65</v>
      </c>
      <c r="BA13" s="12" t="s">
        <v>66</v>
      </c>
      <c r="BC13" s="31">
        <f>AW13+AX13</f>
        <v>38556.51</v>
      </c>
      <c r="BD13" s="31">
        <f>H13/(100-BE13)*100</f>
        <v>756.01</v>
      </c>
      <c r="BE13" s="31">
        <v>0</v>
      </c>
      <c r="BF13" s="31">
        <f>O13</f>
        <v>0</v>
      </c>
      <c r="BH13" s="31">
        <f>G13*AO13</f>
        <v>0</v>
      </c>
      <c r="BI13" s="31">
        <f>G13*AP13</f>
        <v>38556.51</v>
      </c>
      <c r="BJ13" s="31">
        <f>G13*H13</f>
        <v>38556.51</v>
      </c>
      <c r="BK13" s="31"/>
      <c r="BL13" s="31">
        <v>17</v>
      </c>
      <c r="BW13" s="31">
        <f>I13</f>
        <v>21</v>
      </c>
      <c r="BX13" s="4" t="s">
        <v>61</v>
      </c>
    </row>
    <row r="14" spans="1:76" ht="14.4" x14ac:dyDescent="0.3">
      <c r="A14" s="35" t="s">
        <v>56</v>
      </c>
      <c r="B14" s="36" t="s">
        <v>56</v>
      </c>
      <c r="C14" s="36" t="s">
        <v>67</v>
      </c>
      <c r="D14" s="75" t="s">
        <v>68</v>
      </c>
      <c r="E14" s="76"/>
      <c r="F14" s="37" t="s">
        <v>8</v>
      </c>
      <c r="G14" s="37" t="s">
        <v>8</v>
      </c>
      <c r="H14" s="37" t="s">
        <v>8</v>
      </c>
      <c r="I14" s="37" t="s">
        <v>8</v>
      </c>
      <c r="J14" s="1">
        <f>SUM(J15:J15)</f>
        <v>4098.46</v>
      </c>
      <c r="K14" s="1">
        <f>SUM(K15:K15)</f>
        <v>1986.53</v>
      </c>
      <c r="L14" s="1">
        <f>SUM(L15:L15)</f>
        <v>6084.99</v>
      </c>
      <c r="M14" s="1">
        <f>SUM(M15:M15)</f>
        <v>7362.8378999999995</v>
      </c>
      <c r="N14" s="12" t="s">
        <v>56</v>
      </c>
      <c r="O14" s="1">
        <f>SUM(O15:O15)</f>
        <v>1.569485</v>
      </c>
      <c r="P14" s="38" t="s">
        <v>56</v>
      </c>
      <c r="AI14" s="12" t="s">
        <v>56</v>
      </c>
      <c r="AS14" s="1">
        <f>SUM(AJ15:AJ15)</f>
        <v>0</v>
      </c>
      <c r="AT14" s="1">
        <f>SUM(AK15:AK15)</f>
        <v>0</v>
      </c>
      <c r="AU14" s="1">
        <f>SUM(AL15:AL15)</f>
        <v>6084.99</v>
      </c>
    </row>
    <row r="15" spans="1:76" ht="14.4" x14ac:dyDescent="0.3">
      <c r="A15" s="2" t="s">
        <v>69</v>
      </c>
      <c r="B15" s="3" t="s">
        <v>56</v>
      </c>
      <c r="C15" s="3" t="s">
        <v>70</v>
      </c>
      <c r="D15" s="69" t="s">
        <v>71</v>
      </c>
      <c r="E15" s="70"/>
      <c r="F15" s="3" t="s">
        <v>62</v>
      </c>
      <c r="G15" s="31">
        <v>0.5</v>
      </c>
      <c r="H15" s="31">
        <v>12169.97</v>
      </c>
      <c r="I15" s="32">
        <v>21</v>
      </c>
      <c r="J15" s="31">
        <f>ROUND(G15*AO15,2)</f>
        <v>4098.46</v>
      </c>
      <c r="K15" s="31">
        <f>ROUND(G15*AP15,2)</f>
        <v>1986.53</v>
      </c>
      <c r="L15" s="31">
        <f>ROUND(G15*H15,2)</f>
        <v>6084.99</v>
      </c>
      <c r="M15" s="31">
        <f>L15*(1+BW15/100)</f>
        <v>7362.8378999999995</v>
      </c>
      <c r="N15" s="31">
        <v>3.13897</v>
      </c>
      <c r="O15" s="31">
        <f>G15*N15</f>
        <v>1.569485</v>
      </c>
      <c r="P15" s="33" t="s">
        <v>63</v>
      </c>
      <c r="Z15" s="31">
        <f>ROUND(IF(AQ15="5",BJ15,0),2)</f>
        <v>0</v>
      </c>
      <c r="AB15" s="31">
        <f>ROUND(IF(AQ15="1",BH15,0),2)</f>
        <v>4098.46</v>
      </c>
      <c r="AC15" s="31">
        <f>ROUND(IF(AQ15="1",BI15,0),2)</f>
        <v>1986.53</v>
      </c>
      <c r="AD15" s="31">
        <f>ROUND(IF(AQ15="7",BH15,0),2)</f>
        <v>0</v>
      </c>
      <c r="AE15" s="31">
        <f>ROUND(IF(AQ15="7",BI15,0),2)</f>
        <v>0</v>
      </c>
      <c r="AF15" s="31">
        <f>ROUND(IF(AQ15="2",BH15,0),2)</f>
        <v>0</v>
      </c>
      <c r="AG15" s="31">
        <f>ROUND(IF(AQ15="2",BI15,0),2)</f>
        <v>0</v>
      </c>
      <c r="AH15" s="31">
        <f>ROUND(IF(AQ15="0",BJ15,0),2)</f>
        <v>0</v>
      </c>
      <c r="AI15" s="12" t="s">
        <v>56</v>
      </c>
      <c r="AJ15" s="31">
        <f>IF(AN15=0,L15,0)</f>
        <v>0</v>
      </c>
      <c r="AK15" s="31">
        <f>IF(AN15=12,L15,0)</f>
        <v>0</v>
      </c>
      <c r="AL15" s="31">
        <f>IF(AN15=21,L15,0)</f>
        <v>6084.99</v>
      </c>
      <c r="AN15" s="31">
        <v>21</v>
      </c>
      <c r="AO15" s="31">
        <f>H15*0.673536029</f>
        <v>8196.9132668491293</v>
      </c>
      <c r="AP15" s="31">
        <f>H15*(1-0.673536029)</f>
        <v>3973.0567331508701</v>
      </c>
      <c r="AQ15" s="34" t="s">
        <v>59</v>
      </c>
      <c r="AV15" s="31">
        <f>ROUND(AW15+AX15,2)</f>
        <v>6084.99</v>
      </c>
      <c r="AW15" s="31">
        <f>ROUND(G15*AO15,2)</f>
        <v>4098.46</v>
      </c>
      <c r="AX15" s="31">
        <f>ROUND(G15*AP15,2)</f>
        <v>1986.53</v>
      </c>
      <c r="AY15" s="34" t="s">
        <v>72</v>
      </c>
      <c r="AZ15" s="34" t="s">
        <v>73</v>
      </c>
      <c r="BA15" s="12" t="s">
        <v>66</v>
      </c>
      <c r="BC15" s="31">
        <f>AW15+AX15</f>
        <v>6084.99</v>
      </c>
      <c r="BD15" s="31">
        <f>H15/(100-BE15)*100</f>
        <v>12169.97</v>
      </c>
      <c r="BE15" s="31">
        <v>0</v>
      </c>
      <c r="BF15" s="31">
        <f>O15</f>
        <v>1.569485</v>
      </c>
      <c r="BH15" s="31">
        <f>G15*AO15</f>
        <v>4098.4566334245646</v>
      </c>
      <c r="BI15" s="31">
        <f>G15*AP15</f>
        <v>1986.528366575435</v>
      </c>
      <c r="BJ15" s="31">
        <f>G15*H15</f>
        <v>6084.9849999999997</v>
      </c>
      <c r="BK15" s="31"/>
      <c r="BL15" s="31">
        <v>27</v>
      </c>
      <c r="BW15" s="31">
        <f>I15</f>
        <v>21</v>
      </c>
      <c r="BX15" s="4" t="s">
        <v>71</v>
      </c>
    </row>
    <row r="16" spans="1:76" ht="14.4" x14ac:dyDescent="0.3">
      <c r="A16" s="35" t="s">
        <v>56</v>
      </c>
      <c r="B16" s="36" t="s">
        <v>56</v>
      </c>
      <c r="C16" s="36" t="s">
        <v>74</v>
      </c>
      <c r="D16" s="75" t="s">
        <v>75</v>
      </c>
      <c r="E16" s="76"/>
      <c r="F16" s="37" t="s">
        <v>8</v>
      </c>
      <c r="G16" s="37" t="s">
        <v>8</v>
      </c>
      <c r="H16" s="37" t="s">
        <v>8</v>
      </c>
      <c r="I16" s="37" t="s">
        <v>8</v>
      </c>
      <c r="J16" s="1">
        <f>SUM(J17:J17)</f>
        <v>855.05</v>
      </c>
      <c r="K16" s="1">
        <f>SUM(K17:K17)</f>
        <v>6682.45</v>
      </c>
      <c r="L16" s="1">
        <f>SUM(L17:L17)</f>
        <v>7537.5</v>
      </c>
      <c r="M16" s="1">
        <f>SUM(M17:M17)</f>
        <v>9120.375</v>
      </c>
      <c r="N16" s="12" t="s">
        <v>56</v>
      </c>
      <c r="O16" s="1">
        <f>SUM(O17:O17)</f>
        <v>0.38950499999999999</v>
      </c>
      <c r="P16" s="38" t="s">
        <v>56</v>
      </c>
      <c r="AI16" s="12" t="s">
        <v>56</v>
      </c>
      <c r="AS16" s="1">
        <f>SUM(AJ17:AJ17)</f>
        <v>0</v>
      </c>
      <c r="AT16" s="1">
        <f>SUM(AK17:AK17)</f>
        <v>0</v>
      </c>
      <c r="AU16" s="1">
        <f>SUM(AL17:AL17)</f>
        <v>7537.5</v>
      </c>
    </row>
    <row r="17" spans="1:76" ht="14.4" x14ac:dyDescent="0.3">
      <c r="A17" s="2" t="s">
        <v>76</v>
      </c>
      <c r="B17" s="3" t="s">
        <v>56</v>
      </c>
      <c r="C17" s="3" t="s">
        <v>77</v>
      </c>
      <c r="D17" s="69" t="s">
        <v>78</v>
      </c>
      <c r="E17" s="70"/>
      <c r="F17" s="3" t="s">
        <v>62</v>
      </c>
      <c r="G17" s="31">
        <v>1.5</v>
      </c>
      <c r="H17" s="31">
        <v>5025</v>
      </c>
      <c r="I17" s="32">
        <v>21</v>
      </c>
      <c r="J17" s="31">
        <f>ROUND(G17*AO17,2)</f>
        <v>855.05</v>
      </c>
      <c r="K17" s="31">
        <f>ROUND(G17*AP17,2)</f>
        <v>6682.45</v>
      </c>
      <c r="L17" s="31">
        <f>ROUND(G17*H17,2)</f>
        <v>7537.5</v>
      </c>
      <c r="M17" s="31">
        <f>L17*(1+BW17/100)</f>
        <v>9120.375</v>
      </c>
      <c r="N17" s="31">
        <v>0.25967000000000001</v>
      </c>
      <c r="O17" s="31">
        <f>G17*N17</f>
        <v>0.38950499999999999</v>
      </c>
      <c r="P17" s="33" t="s">
        <v>63</v>
      </c>
      <c r="Z17" s="31">
        <f>ROUND(IF(AQ17="5",BJ17,0),2)</f>
        <v>0</v>
      </c>
      <c r="AB17" s="31">
        <f>ROUND(IF(AQ17="1",BH17,0),2)</f>
        <v>855.05</v>
      </c>
      <c r="AC17" s="31">
        <f>ROUND(IF(AQ17="1",BI17,0),2)</f>
        <v>6682.45</v>
      </c>
      <c r="AD17" s="31">
        <f>ROUND(IF(AQ17="7",BH17,0),2)</f>
        <v>0</v>
      </c>
      <c r="AE17" s="31">
        <f>ROUND(IF(AQ17="7",BI17,0),2)</f>
        <v>0</v>
      </c>
      <c r="AF17" s="31">
        <f>ROUND(IF(AQ17="2",BH17,0),2)</f>
        <v>0</v>
      </c>
      <c r="AG17" s="31">
        <f>ROUND(IF(AQ17="2",BI17,0),2)</f>
        <v>0</v>
      </c>
      <c r="AH17" s="31">
        <f>ROUND(IF(AQ17="0",BJ17,0),2)</f>
        <v>0</v>
      </c>
      <c r="AI17" s="12" t="s">
        <v>56</v>
      </c>
      <c r="AJ17" s="31">
        <f>IF(AN17=0,L17,0)</f>
        <v>0</v>
      </c>
      <c r="AK17" s="31">
        <f>IF(AN17=12,L17,0)</f>
        <v>0</v>
      </c>
      <c r="AL17" s="31">
        <f>IF(AN17=21,L17,0)</f>
        <v>7537.5</v>
      </c>
      <c r="AN17" s="31">
        <v>21</v>
      </c>
      <c r="AO17" s="31">
        <f>H17*0.113439469</f>
        <v>570.03333172500004</v>
      </c>
      <c r="AP17" s="31">
        <f>H17*(1-0.113439469)</f>
        <v>4454.9666682750003</v>
      </c>
      <c r="AQ17" s="34" t="s">
        <v>59</v>
      </c>
      <c r="AV17" s="31">
        <f>ROUND(AW17+AX17,2)</f>
        <v>7537.5</v>
      </c>
      <c r="AW17" s="31">
        <f>ROUND(G17*AO17,2)</f>
        <v>855.05</v>
      </c>
      <c r="AX17" s="31">
        <f>ROUND(G17*AP17,2)</f>
        <v>6682.45</v>
      </c>
      <c r="AY17" s="34" t="s">
        <v>79</v>
      </c>
      <c r="AZ17" s="34" t="s">
        <v>80</v>
      </c>
      <c r="BA17" s="12" t="s">
        <v>66</v>
      </c>
      <c r="BC17" s="31">
        <f>AW17+AX17</f>
        <v>7537.5</v>
      </c>
      <c r="BD17" s="31">
        <f>H17/(100-BE17)*100</f>
        <v>5025</v>
      </c>
      <c r="BE17" s="31">
        <v>0</v>
      </c>
      <c r="BF17" s="31">
        <f>O17</f>
        <v>0.38950499999999999</v>
      </c>
      <c r="BH17" s="31">
        <f>G17*AO17</f>
        <v>855.0499975875</v>
      </c>
      <c r="BI17" s="31">
        <f>G17*AP17</f>
        <v>6682.4500024125009</v>
      </c>
      <c r="BJ17" s="31">
        <f>G17*H17</f>
        <v>7537.5</v>
      </c>
      <c r="BK17" s="31"/>
      <c r="BL17" s="31">
        <v>32</v>
      </c>
      <c r="BW17" s="31">
        <f>I17</f>
        <v>21</v>
      </c>
      <c r="BX17" s="4" t="s">
        <v>78</v>
      </c>
    </row>
    <row r="18" spans="1:76" ht="14.4" x14ac:dyDescent="0.3">
      <c r="A18" s="35" t="s">
        <v>56</v>
      </c>
      <c r="B18" s="36" t="s">
        <v>56</v>
      </c>
      <c r="C18" s="36" t="s">
        <v>81</v>
      </c>
      <c r="D18" s="75" t="s">
        <v>82</v>
      </c>
      <c r="E18" s="76"/>
      <c r="F18" s="37" t="s">
        <v>8</v>
      </c>
      <c r="G18" s="37" t="s">
        <v>8</v>
      </c>
      <c r="H18" s="37" t="s">
        <v>8</v>
      </c>
      <c r="I18" s="37" t="s">
        <v>8</v>
      </c>
      <c r="J18" s="1">
        <f>SUM(J19:J20)</f>
        <v>25680.54</v>
      </c>
      <c r="K18" s="1">
        <f>SUM(K19:K20)</f>
        <v>40129.46</v>
      </c>
      <c r="L18" s="1">
        <f>SUM(L19:L20)</f>
        <v>65810</v>
      </c>
      <c r="M18" s="1">
        <f>SUM(M19:M20)</f>
        <v>79630.099999999991</v>
      </c>
      <c r="N18" s="12" t="s">
        <v>56</v>
      </c>
      <c r="O18" s="1">
        <f>SUM(O19:O20)</f>
        <v>31.790000000000003</v>
      </c>
      <c r="P18" s="38" t="s">
        <v>56</v>
      </c>
      <c r="AI18" s="12" t="s">
        <v>56</v>
      </c>
      <c r="AS18" s="1">
        <f>SUM(AJ19:AJ20)</f>
        <v>0</v>
      </c>
      <c r="AT18" s="1">
        <f>SUM(AK19:AK20)</f>
        <v>0</v>
      </c>
      <c r="AU18" s="1">
        <f>SUM(AL19:AL20)</f>
        <v>65810</v>
      </c>
    </row>
    <row r="19" spans="1:76" ht="14.4" x14ac:dyDescent="0.3">
      <c r="A19" s="2" t="s">
        <v>83</v>
      </c>
      <c r="B19" s="3" t="s">
        <v>56</v>
      </c>
      <c r="C19" s="3" t="s">
        <v>84</v>
      </c>
      <c r="D19" s="69" t="s">
        <v>85</v>
      </c>
      <c r="E19" s="70"/>
      <c r="F19" s="3" t="s">
        <v>62</v>
      </c>
      <c r="G19" s="31">
        <v>17</v>
      </c>
      <c r="H19" s="31">
        <v>2515</v>
      </c>
      <c r="I19" s="32">
        <v>21</v>
      </c>
      <c r="J19" s="31">
        <f>ROUND(G19*AO19,2)</f>
        <v>25680.54</v>
      </c>
      <c r="K19" s="31">
        <f>ROUND(G19*AP19,2)</f>
        <v>17074.46</v>
      </c>
      <c r="L19" s="31">
        <f>ROUND(G19*H19,2)</f>
        <v>42755</v>
      </c>
      <c r="M19" s="31">
        <f>L19*(1+BW19/100)</f>
        <v>51733.549999999996</v>
      </c>
      <c r="N19" s="31">
        <v>1.87</v>
      </c>
      <c r="O19" s="31">
        <f>G19*N19</f>
        <v>31.790000000000003</v>
      </c>
      <c r="P19" s="33" t="s">
        <v>63</v>
      </c>
      <c r="Z19" s="31">
        <f>ROUND(IF(AQ19="5",BJ19,0),2)</f>
        <v>0</v>
      </c>
      <c r="AB19" s="31">
        <f>ROUND(IF(AQ19="1",BH19,0),2)</f>
        <v>25680.54</v>
      </c>
      <c r="AC19" s="31">
        <f>ROUND(IF(AQ19="1",BI19,0),2)</f>
        <v>17074.46</v>
      </c>
      <c r="AD19" s="31">
        <f>ROUND(IF(AQ19="7",BH19,0),2)</f>
        <v>0</v>
      </c>
      <c r="AE19" s="31">
        <f>ROUND(IF(AQ19="7",BI19,0),2)</f>
        <v>0</v>
      </c>
      <c r="AF19" s="31">
        <f>ROUND(IF(AQ19="2",BH19,0),2)</f>
        <v>0</v>
      </c>
      <c r="AG19" s="31">
        <f>ROUND(IF(AQ19="2",BI19,0),2)</f>
        <v>0</v>
      </c>
      <c r="AH19" s="31">
        <f>ROUND(IF(AQ19="0",BJ19,0),2)</f>
        <v>0</v>
      </c>
      <c r="AI19" s="12" t="s">
        <v>56</v>
      </c>
      <c r="AJ19" s="31">
        <f>IF(AN19=0,L19,0)</f>
        <v>0</v>
      </c>
      <c r="AK19" s="31">
        <f>IF(AN19=12,L19,0)</f>
        <v>0</v>
      </c>
      <c r="AL19" s="31">
        <f>IF(AN19=21,L19,0)</f>
        <v>42755</v>
      </c>
      <c r="AN19" s="31">
        <v>21</v>
      </c>
      <c r="AO19" s="31">
        <f>H19*0.600644135</f>
        <v>1510.6199995250001</v>
      </c>
      <c r="AP19" s="31">
        <f>H19*(1-0.600644135)</f>
        <v>1004.380000475</v>
      </c>
      <c r="AQ19" s="34" t="s">
        <v>59</v>
      </c>
      <c r="AV19" s="31">
        <f>ROUND(AW19+AX19,2)</f>
        <v>42755</v>
      </c>
      <c r="AW19" s="31">
        <f>ROUND(G19*AO19,2)</f>
        <v>25680.54</v>
      </c>
      <c r="AX19" s="31">
        <f>ROUND(G19*AP19,2)</f>
        <v>17074.46</v>
      </c>
      <c r="AY19" s="34" t="s">
        <v>86</v>
      </c>
      <c r="AZ19" s="34" t="s">
        <v>87</v>
      </c>
      <c r="BA19" s="12" t="s">
        <v>66</v>
      </c>
      <c r="BC19" s="31">
        <f>AW19+AX19</f>
        <v>42755</v>
      </c>
      <c r="BD19" s="31">
        <f>H19/(100-BE19)*100</f>
        <v>2515</v>
      </c>
      <c r="BE19" s="31">
        <v>0</v>
      </c>
      <c r="BF19" s="31">
        <f>O19</f>
        <v>31.790000000000003</v>
      </c>
      <c r="BH19" s="31">
        <f>G19*AO19</f>
        <v>25680.539991925001</v>
      </c>
      <c r="BI19" s="31">
        <f>G19*AP19</f>
        <v>17074.460008074999</v>
      </c>
      <c r="BJ19" s="31">
        <f>G19*H19</f>
        <v>42755</v>
      </c>
      <c r="BK19" s="31"/>
      <c r="BL19" s="31">
        <v>46</v>
      </c>
      <c r="BW19" s="31">
        <f>I19</f>
        <v>21</v>
      </c>
      <c r="BX19" s="4" t="s">
        <v>85</v>
      </c>
    </row>
    <row r="20" spans="1:76" ht="14.4" x14ac:dyDescent="0.3">
      <c r="A20" s="2" t="s">
        <v>88</v>
      </c>
      <c r="B20" s="3" t="s">
        <v>56</v>
      </c>
      <c r="C20" s="3" t="s">
        <v>89</v>
      </c>
      <c r="D20" s="69" t="s">
        <v>90</v>
      </c>
      <c r="E20" s="70"/>
      <c r="F20" s="3" t="s">
        <v>91</v>
      </c>
      <c r="G20" s="31">
        <v>72.5</v>
      </c>
      <c r="H20" s="31">
        <v>318</v>
      </c>
      <c r="I20" s="32">
        <v>21</v>
      </c>
      <c r="J20" s="31">
        <f>ROUND(G20*AO20,2)</f>
        <v>0</v>
      </c>
      <c r="K20" s="31">
        <f>ROUND(G20*AP20,2)</f>
        <v>23055</v>
      </c>
      <c r="L20" s="31">
        <f>ROUND(G20*H20,2)</f>
        <v>23055</v>
      </c>
      <c r="M20" s="31">
        <f>L20*(1+BW20/100)</f>
        <v>27896.55</v>
      </c>
      <c r="N20" s="31">
        <v>0</v>
      </c>
      <c r="O20" s="31">
        <f>G20*N20</f>
        <v>0</v>
      </c>
      <c r="P20" s="33" t="s">
        <v>63</v>
      </c>
      <c r="Z20" s="31">
        <f>ROUND(IF(AQ20="5",BJ20,0),2)</f>
        <v>0</v>
      </c>
      <c r="AB20" s="31">
        <f>ROUND(IF(AQ20="1",BH20,0),2)</f>
        <v>0</v>
      </c>
      <c r="AC20" s="31">
        <f>ROUND(IF(AQ20="1",BI20,0),2)</f>
        <v>23055</v>
      </c>
      <c r="AD20" s="31">
        <f>ROUND(IF(AQ20="7",BH20,0),2)</f>
        <v>0</v>
      </c>
      <c r="AE20" s="31">
        <f>ROUND(IF(AQ20="7",BI20,0),2)</f>
        <v>0</v>
      </c>
      <c r="AF20" s="31">
        <f>ROUND(IF(AQ20="2",BH20,0),2)</f>
        <v>0</v>
      </c>
      <c r="AG20" s="31">
        <f>ROUND(IF(AQ20="2",BI20,0),2)</f>
        <v>0</v>
      </c>
      <c r="AH20" s="31">
        <f>ROUND(IF(AQ20="0",BJ20,0),2)</f>
        <v>0</v>
      </c>
      <c r="AI20" s="12" t="s">
        <v>56</v>
      </c>
      <c r="AJ20" s="31">
        <f>IF(AN20=0,L20,0)</f>
        <v>0</v>
      </c>
      <c r="AK20" s="31">
        <f>IF(AN20=12,L20,0)</f>
        <v>0</v>
      </c>
      <c r="AL20" s="31">
        <f>IF(AN20=21,L20,0)</f>
        <v>23055</v>
      </c>
      <c r="AN20" s="31">
        <v>21</v>
      </c>
      <c r="AO20" s="31">
        <f>H20*0</f>
        <v>0</v>
      </c>
      <c r="AP20" s="31">
        <f>H20*(1-0)</f>
        <v>318</v>
      </c>
      <c r="AQ20" s="34" t="s">
        <v>59</v>
      </c>
      <c r="AV20" s="31">
        <f>ROUND(AW20+AX20,2)</f>
        <v>23055</v>
      </c>
      <c r="AW20" s="31">
        <f>ROUND(G20*AO20,2)</f>
        <v>0</v>
      </c>
      <c r="AX20" s="31">
        <f>ROUND(G20*AP20,2)</f>
        <v>23055</v>
      </c>
      <c r="AY20" s="34" t="s">
        <v>86</v>
      </c>
      <c r="AZ20" s="34" t="s">
        <v>87</v>
      </c>
      <c r="BA20" s="12" t="s">
        <v>66</v>
      </c>
      <c r="BC20" s="31">
        <f>AW20+AX20</f>
        <v>23055</v>
      </c>
      <c r="BD20" s="31">
        <f>H20/(100-BE20)*100</f>
        <v>318</v>
      </c>
      <c r="BE20" s="31">
        <v>0</v>
      </c>
      <c r="BF20" s="31">
        <f>O20</f>
        <v>0</v>
      </c>
      <c r="BH20" s="31">
        <f>G20*AO20</f>
        <v>0</v>
      </c>
      <c r="BI20" s="31">
        <f>G20*AP20</f>
        <v>23055</v>
      </c>
      <c r="BJ20" s="31">
        <f>G20*H20</f>
        <v>23055</v>
      </c>
      <c r="BK20" s="31"/>
      <c r="BL20" s="31">
        <v>46</v>
      </c>
      <c r="BW20" s="31">
        <f>I20</f>
        <v>21</v>
      </c>
      <c r="BX20" s="4" t="s">
        <v>90</v>
      </c>
    </row>
    <row r="21" spans="1:76" ht="14.4" x14ac:dyDescent="0.3">
      <c r="A21" s="35" t="s">
        <v>56</v>
      </c>
      <c r="B21" s="36" t="s">
        <v>56</v>
      </c>
      <c r="C21" s="36" t="s">
        <v>92</v>
      </c>
      <c r="D21" s="75" t="s">
        <v>93</v>
      </c>
      <c r="E21" s="76"/>
      <c r="F21" s="37" t="s">
        <v>8</v>
      </c>
      <c r="G21" s="37" t="s">
        <v>8</v>
      </c>
      <c r="H21" s="37" t="s">
        <v>8</v>
      </c>
      <c r="I21" s="37" t="s">
        <v>8</v>
      </c>
      <c r="J21" s="1">
        <f>SUM(J22:J22)</f>
        <v>0</v>
      </c>
      <c r="K21" s="1">
        <f>SUM(K22:K22)</f>
        <v>58652.5</v>
      </c>
      <c r="L21" s="1">
        <f>SUM(L22:L22)</f>
        <v>58652.5</v>
      </c>
      <c r="M21" s="1">
        <f>SUM(M22:M22)</f>
        <v>70969.524999999994</v>
      </c>
      <c r="N21" s="12" t="s">
        <v>56</v>
      </c>
      <c r="O21" s="1">
        <f>SUM(O22:O22)</f>
        <v>0</v>
      </c>
      <c r="P21" s="38" t="s">
        <v>56</v>
      </c>
      <c r="AI21" s="12" t="s">
        <v>56</v>
      </c>
      <c r="AS21" s="1">
        <f>SUM(AJ22:AJ22)</f>
        <v>0</v>
      </c>
      <c r="AT21" s="1">
        <f>SUM(AK22:AK22)</f>
        <v>0</v>
      </c>
      <c r="AU21" s="1">
        <f>SUM(AL22:AL22)</f>
        <v>58652.5</v>
      </c>
    </row>
    <row r="22" spans="1:76" ht="14.4" x14ac:dyDescent="0.3">
      <c r="A22" s="2" t="s">
        <v>94</v>
      </c>
      <c r="B22" s="3" t="s">
        <v>56</v>
      </c>
      <c r="C22" s="3" t="s">
        <v>95</v>
      </c>
      <c r="D22" s="69" t="s">
        <v>96</v>
      </c>
      <c r="E22" s="70"/>
      <c r="F22" s="3" t="s">
        <v>97</v>
      </c>
      <c r="G22" s="31">
        <v>145</v>
      </c>
      <c r="H22" s="31">
        <v>404.5</v>
      </c>
      <c r="I22" s="32">
        <v>21</v>
      </c>
      <c r="J22" s="31">
        <f>ROUND(G22*AO22,2)</f>
        <v>0</v>
      </c>
      <c r="K22" s="31">
        <f>ROUND(G22*AP22,2)</f>
        <v>58652.5</v>
      </c>
      <c r="L22" s="31">
        <f>ROUND(G22*H22,2)</f>
        <v>58652.5</v>
      </c>
      <c r="M22" s="31">
        <f>L22*(1+BW22/100)</f>
        <v>70969.524999999994</v>
      </c>
      <c r="N22" s="31">
        <v>0</v>
      </c>
      <c r="O22" s="31">
        <f>G22*N22</f>
        <v>0</v>
      </c>
      <c r="P22" s="33" t="s">
        <v>63</v>
      </c>
      <c r="Z22" s="31">
        <f>ROUND(IF(AQ22="5",BJ22,0),2)</f>
        <v>58652.5</v>
      </c>
      <c r="AB22" s="31">
        <f>ROUND(IF(AQ22="1",BH22,0),2)</f>
        <v>0</v>
      </c>
      <c r="AC22" s="31">
        <f>ROUND(IF(AQ22="1",BI22,0),2)</f>
        <v>0</v>
      </c>
      <c r="AD22" s="31">
        <f>ROUND(IF(AQ22="7",BH22,0),2)</f>
        <v>0</v>
      </c>
      <c r="AE22" s="31">
        <f>ROUND(IF(AQ22="7",BI22,0),2)</f>
        <v>0</v>
      </c>
      <c r="AF22" s="31">
        <f>ROUND(IF(AQ22="2",BH22,0),2)</f>
        <v>0</v>
      </c>
      <c r="AG22" s="31">
        <f>ROUND(IF(AQ22="2",BI22,0),2)</f>
        <v>0</v>
      </c>
      <c r="AH22" s="31">
        <f>ROUND(IF(AQ22="0",BJ22,0),2)</f>
        <v>0</v>
      </c>
      <c r="AI22" s="12" t="s">
        <v>56</v>
      </c>
      <c r="AJ22" s="31">
        <f>IF(AN22=0,L22,0)</f>
        <v>0</v>
      </c>
      <c r="AK22" s="31">
        <f>IF(AN22=12,L22,0)</f>
        <v>0</v>
      </c>
      <c r="AL22" s="31">
        <f>IF(AN22=21,L22,0)</f>
        <v>58652.5</v>
      </c>
      <c r="AN22" s="31">
        <v>21</v>
      </c>
      <c r="AO22" s="31">
        <f>H22*0</f>
        <v>0</v>
      </c>
      <c r="AP22" s="31">
        <f>H22*(1-0)</f>
        <v>404.5</v>
      </c>
      <c r="AQ22" s="34" t="s">
        <v>88</v>
      </c>
      <c r="AV22" s="31">
        <f>ROUND(AW22+AX22,2)</f>
        <v>58652.5</v>
      </c>
      <c r="AW22" s="31">
        <f>ROUND(G22*AO22,2)</f>
        <v>0</v>
      </c>
      <c r="AX22" s="31">
        <f>ROUND(G22*AP22,2)</f>
        <v>58652.5</v>
      </c>
      <c r="AY22" s="34" t="s">
        <v>98</v>
      </c>
      <c r="AZ22" s="34" t="s">
        <v>99</v>
      </c>
      <c r="BA22" s="12" t="s">
        <v>66</v>
      </c>
      <c r="BC22" s="31">
        <f>AW22+AX22</f>
        <v>58652.5</v>
      </c>
      <c r="BD22" s="31">
        <f>H22/(100-BE22)*100</f>
        <v>404.5</v>
      </c>
      <c r="BE22" s="31">
        <v>0</v>
      </c>
      <c r="BF22" s="31">
        <f>O22</f>
        <v>0</v>
      </c>
      <c r="BH22" s="31">
        <f>G22*AO22</f>
        <v>0</v>
      </c>
      <c r="BI22" s="31">
        <f>G22*AP22</f>
        <v>58652.5</v>
      </c>
      <c r="BJ22" s="31">
        <f>G22*H22</f>
        <v>58652.5</v>
      </c>
      <c r="BK22" s="31"/>
      <c r="BL22" s="31"/>
      <c r="BW22" s="31">
        <f>I22</f>
        <v>21</v>
      </c>
      <c r="BX22" s="4" t="s">
        <v>96</v>
      </c>
    </row>
    <row r="23" spans="1:76" ht="14.4" x14ac:dyDescent="0.3">
      <c r="A23" s="35" t="s">
        <v>56</v>
      </c>
      <c r="B23" s="36" t="s">
        <v>56</v>
      </c>
      <c r="C23" s="36" t="s">
        <v>100</v>
      </c>
      <c r="D23" s="75" t="s">
        <v>101</v>
      </c>
      <c r="E23" s="76"/>
      <c r="F23" s="37" t="s">
        <v>8</v>
      </c>
      <c r="G23" s="37" t="s">
        <v>8</v>
      </c>
      <c r="H23" s="37" t="s">
        <v>8</v>
      </c>
      <c r="I23" s="37" t="s">
        <v>8</v>
      </c>
      <c r="J23" s="1">
        <f>SUM(J24:J25)</f>
        <v>36319</v>
      </c>
      <c r="K23" s="1">
        <f>SUM(K24:K25)</f>
        <v>0</v>
      </c>
      <c r="L23" s="1">
        <f>SUM(L24:L25)</f>
        <v>36319</v>
      </c>
      <c r="M23" s="1">
        <f>SUM(M24:M25)</f>
        <v>43945.99</v>
      </c>
      <c r="N23" s="12" t="s">
        <v>56</v>
      </c>
      <c r="O23" s="1">
        <f>SUM(O24:O25)</f>
        <v>2.2546999999999997</v>
      </c>
      <c r="P23" s="38" t="s">
        <v>56</v>
      </c>
      <c r="AI23" s="12" t="s">
        <v>56</v>
      </c>
      <c r="AS23" s="1">
        <f>SUM(AJ24:AJ25)</f>
        <v>0</v>
      </c>
      <c r="AT23" s="1">
        <f>SUM(AK24:AK25)</f>
        <v>0</v>
      </c>
      <c r="AU23" s="1">
        <f>SUM(AL24:AL25)</f>
        <v>36319</v>
      </c>
    </row>
    <row r="24" spans="1:76" ht="14.4" x14ac:dyDescent="0.3">
      <c r="A24" s="2" t="s">
        <v>102</v>
      </c>
      <c r="B24" s="3" t="s">
        <v>56</v>
      </c>
      <c r="C24" s="3" t="s">
        <v>103</v>
      </c>
      <c r="D24" s="69" t="s">
        <v>104</v>
      </c>
      <c r="E24" s="70"/>
      <c r="F24" s="3" t="s">
        <v>105</v>
      </c>
      <c r="G24" s="31">
        <v>1</v>
      </c>
      <c r="H24" s="31">
        <v>3772</v>
      </c>
      <c r="I24" s="32">
        <v>21</v>
      </c>
      <c r="J24" s="31">
        <f>ROUND(G24*AO24,2)</f>
        <v>3772</v>
      </c>
      <c r="K24" s="31">
        <f>ROUND(G24*AP24,2)</f>
        <v>0</v>
      </c>
      <c r="L24" s="31">
        <f>ROUND(G24*H24,2)</f>
        <v>3772</v>
      </c>
      <c r="M24" s="31">
        <f>L24*(1+BW24/100)</f>
        <v>4564.12</v>
      </c>
      <c r="N24" s="31">
        <v>0.33</v>
      </c>
      <c r="O24" s="31">
        <f>G24*N24</f>
        <v>0.33</v>
      </c>
      <c r="P24" s="33" t="s">
        <v>63</v>
      </c>
      <c r="Z24" s="31">
        <f>ROUND(IF(AQ24="5",BJ24,0),2)</f>
        <v>0</v>
      </c>
      <c r="AB24" s="31">
        <f>ROUND(IF(AQ24="1",BH24,0),2)</f>
        <v>0</v>
      </c>
      <c r="AC24" s="31">
        <f>ROUND(IF(AQ24="1",BI24,0),2)</f>
        <v>0</v>
      </c>
      <c r="AD24" s="31">
        <f>ROUND(IF(AQ24="7",BH24,0),2)</f>
        <v>0</v>
      </c>
      <c r="AE24" s="31">
        <f>ROUND(IF(AQ24="7",BI24,0),2)</f>
        <v>0</v>
      </c>
      <c r="AF24" s="31">
        <f>ROUND(IF(AQ24="2",BH24,0),2)</f>
        <v>0</v>
      </c>
      <c r="AG24" s="31">
        <f>ROUND(IF(AQ24="2",BI24,0),2)</f>
        <v>0</v>
      </c>
      <c r="AH24" s="31">
        <f>ROUND(IF(AQ24="0",BJ24,0),2)</f>
        <v>3772</v>
      </c>
      <c r="AI24" s="12" t="s">
        <v>56</v>
      </c>
      <c r="AJ24" s="31">
        <f>IF(AN24=0,L24,0)</f>
        <v>0</v>
      </c>
      <c r="AK24" s="31">
        <f>IF(AN24=12,L24,0)</f>
        <v>0</v>
      </c>
      <c r="AL24" s="31">
        <f>IF(AN24=21,L24,0)</f>
        <v>3772</v>
      </c>
      <c r="AN24" s="31">
        <v>21</v>
      </c>
      <c r="AO24" s="31">
        <f>H24*1</f>
        <v>3772</v>
      </c>
      <c r="AP24" s="31">
        <f>H24*(1-1)</f>
        <v>0</v>
      </c>
      <c r="AQ24" s="34" t="s">
        <v>106</v>
      </c>
      <c r="AV24" s="31">
        <f>ROUND(AW24+AX24,2)</f>
        <v>3772</v>
      </c>
      <c r="AW24" s="31">
        <f>ROUND(G24*AO24,2)</f>
        <v>3772</v>
      </c>
      <c r="AX24" s="31">
        <f>ROUND(G24*AP24,2)</f>
        <v>0</v>
      </c>
      <c r="AY24" s="34" t="s">
        <v>107</v>
      </c>
      <c r="AZ24" s="34" t="s">
        <v>108</v>
      </c>
      <c r="BA24" s="12" t="s">
        <v>66</v>
      </c>
      <c r="BC24" s="31">
        <f>AW24+AX24</f>
        <v>3772</v>
      </c>
      <c r="BD24" s="31">
        <f>H24/(100-BE24)*100</f>
        <v>3772</v>
      </c>
      <c r="BE24" s="31">
        <v>0</v>
      </c>
      <c r="BF24" s="31">
        <f>O24</f>
        <v>0.33</v>
      </c>
      <c r="BH24" s="31">
        <f>G24*AO24</f>
        <v>3772</v>
      </c>
      <c r="BI24" s="31">
        <f>G24*AP24</f>
        <v>0</v>
      </c>
      <c r="BJ24" s="31">
        <f>G24*H24</f>
        <v>3772</v>
      </c>
      <c r="BK24" s="31"/>
      <c r="BL24" s="31"/>
      <c r="BW24" s="31">
        <f>I24</f>
        <v>21</v>
      </c>
      <c r="BX24" s="4" t="s">
        <v>104</v>
      </c>
    </row>
    <row r="25" spans="1:76" ht="14.4" x14ac:dyDescent="0.3">
      <c r="A25" s="39" t="s">
        <v>109</v>
      </c>
      <c r="B25" s="40" t="s">
        <v>56</v>
      </c>
      <c r="C25" s="40" t="s">
        <v>110</v>
      </c>
      <c r="D25" s="71" t="s">
        <v>111</v>
      </c>
      <c r="E25" s="72"/>
      <c r="F25" s="40" t="s">
        <v>112</v>
      </c>
      <c r="G25" s="41">
        <v>1.9</v>
      </c>
      <c r="H25" s="41">
        <v>17130</v>
      </c>
      <c r="I25" s="42">
        <v>21</v>
      </c>
      <c r="J25" s="41">
        <f>ROUND(G25*AO25,2)</f>
        <v>32547</v>
      </c>
      <c r="K25" s="41">
        <f>ROUND(G25*AP25,2)</f>
        <v>0</v>
      </c>
      <c r="L25" s="41">
        <f>ROUND(G25*H25,2)</f>
        <v>32547</v>
      </c>
      <c r="M25" s="41">
        <f>L25*(1+BW25/100)</f>
        <v>39381.869999999995</v>
      </c>
      <c r="N25" s="41">
        <v>1.0129999999999999</v>
      </c>
      <c r="O25" s="41">
        <f>G25*N25</f>
        <v>1.9246999999999996</v>
      </c>
      <c r="P25" s="43" t="s">
        <v>63</v>
      </c>
      <c r="Z25" s="31">
        <f>ROUND(IF(AQ25="5",BJ25,0),2)</f>
        <v>0</v>
      </c>
      <c r="AB25" s="31">
        <f>ROUND(IF(AQ25="1",BH25,0),2)</f>
        <v>0</v>
      </c>
      <c r="AC25" s="31">
        <f>ROUND(IF(AQ25="1",BI25,0),2)</f>
        <v>0</v>
      </c>
      <c r="AD25" s="31">
        <f>ROUND(IF(AQ25="7",BH25,0),2)</f>
        <v>0</v>
      </c>
      <c r="AE25" s="31">
        <f>ROUND(IF(AQ25="7",BI25,0),2)</f>
        <v>0</v>
      </c>
      <c r="AF25" s="31">
        <f>ROUND(IF(AQ25="2",BH25,0),2)</f>
        <v>0</v>
      </c>
      <c r="AG25" s="31">
        <f>ROUND(IF(AQ25="2",BI25,0),2)</f>
        <v>0</v>
      </c>
      <c r="AH25" s="31">
        <f>ROUND(IF(AQ25="0",BJ25,0),2)</f>
        <v>32547</v>
      </c>
      <c r="AI25" s="12" t="s">
        <v>56</v>
      </c>
      <c r="AJ25" s="31">
        <f>IF(AN25=0,L25,0)</f>
        <v>0</v>
      </c>
      <c r="AK25" s="31">
        <f>IF(AN25=12,L25,0)</f>
        <v>0</v>
      </c>
      <c r="AL25" s="31">
        <f>IF(AN25=21,L25,0)</f>
        <v>32547</v>
      </c>
      <c r="AN25" s="31">
        <v>21</v>
      </c>
      <c r="AO25" s="31">
        <f>H25*1</f>
        <v>17130</v>
      </c>
      <c r="AP25" s="31">
        <f>H25*(1-1)</f>
        <v>0</v>
      </c>
      <c r="AQ25" s="34" t="s">
        <v>106</v>
      </c>
      <c r="AV25" s="31">
        <f>ROUND(AW25+AX25,2)</f>
        <v>32547</v>
      </c>
      <c r="AW25" s="31">
        <f>ROUND(G25*AO25,2)</f>
        <v>32547</v>
      </c>
      <c r="AX25" s="31">
        <f>ROUND(G25*AP25,2)</f>
        <v>0</v>
      </c>
      <c r="AY25" s="34" t="s">
        <v>107</v>
      </c>
      <c r="AZ25" s="34" t="s">
        <v>108</v>
      </c>
      <c r="BA25" s="12" t="s">
        <v>66</v>
      </c>
      <c r="BC25" s="31">
        <f>AW25+AX25</f>
        <v>32547</v>
      </c>
      <c r="BD25" s="31">
        <f>H25/(100-BE25)*100</f>
        <v>17130</v>
      </c>
      <c r="BE25" s="31">
        <v>0</v>
      </c>
      <c r="BF25" s="31">
        <f>O25</f>
        <v>1.9246999999999996</v>
      </c>
      <c r="BH25" s="31">
        <f>G25*AO25</f>
        <v>32547</v>
      </c>
      <c r="BI25" s="31">
        <f>G25*AP25</f>
        <v>0</v>
      </c>
      <c r="BJ25" s="31">
        <f>G25*H25</f>
        <v>32547</v>
      </c>
      <c r="BK25" s="31"/>
      <c r="BL25" s="31"/>
      <c r="BW25" s="31">
        <f>I25</f>
        <v>21</v>
      </c>
      <c r="BX25" s="4" t="s">
        <v>111</v>
      </c>
    </row>
    <row r="26" spans="1:76" ht="14.4" x14ac:dyDescent="0.3">
      <c r="J26" s="73" t="s">
        <v>113</v>
      </c>
      <c r="K26" s="73"/>
      <c r="L26" s="44">
        <f>ROUND(L12+L14+L16+L18+L21+L23,2)</f>
        <v>212960.5</v>
      </c>
      <c r="M26" s="44">
        <f>ROUND(M12+M14+M16+M18+M21+M23,2)</f>
        <v>257682.21</v>
      </c>
    </row>
    <row r="27" spans="1:76" ht="14.4" x14ac:dyDescent="0.3">
      <c r="J27" s="74" t="s">
        <v>114</v>
      </c>
      <c r="K27" s="74"/>
      <c r="L27" s="45">
        <v>23</v>
      </c>
    </row>
    <row r="28" spans="1:76" ht="14.4" x14ac:dyDescent="0.3">
      <c r="J28" s="74" t="s">
        <v>115</v>
      </c>
      <c r="K28" s="74"/>
      <c r="L28" s="45">
        <f>ROUND(L26*(1-L27/100),2)</f>
        <v>163979.59</v>
      </c>
    </row>
    <row r="29" spans="1:76" ht="14.4" x14ac:dyDescent="0.3">
      <c r="A29" s="46" t="s">
        <v>116</v>
      </c>
    </row>
    <row r="30" spans="1:76" ht="12.75" customHeight="1" x14ac:dyDescent="0.3">
      <c r="A30" s="69" t="s">
        <v>56</v>
      </c>
      <c r="B30" s="70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</row>
  </sheetData>
  <mergeCells count="47">
    <mergeCell ref="A1:P1"/>
    <mergeCell ref="A2:C3"/>
    <mergeCell ref="A4:C5"/>
    <mergeCell ref="A6:C7"/>
    <mergeCell ref="A8:C9"/>
    <mergeCell ref="F2:G3"/>
    <mergeCell ref="F4:G5"/>
    <mergeCell ref="F6:G7"/>
    <mergeCell ref="F8:G9"/>
    <mergeCell ref="I2:J3"/>
    <mergeCell ref="I4:J5"/>
    <mergeCell ref="I6:J7"/>
    <mergeCell ref="I8:J9"/>
    <mergeCell ref="D2:E3"/>
    <mergeCell ref="D4:E5"/>
    <mergeCell ref="D6:E7"/>
    <mergeCell ref="K2:P3"/>
    <mergeCell ref="K4:P5"/>
    <mergeCell ref="K6:P7"/>
    <mergeCell ref="K8:P9"/>
    <mergeCell ref="D10:E10"/>
    <mergeCell ref="D8:E9"/>
    <mergeCell ref="H2:H3"/>
    <mergeCell ref="H4:H5"/>
    <mergeCell ref="H6:H7"/>
    <mergeCell ref="H8:H9"/>
    <mergeCell ref="D11:E11"/>
    <mergeCell ref="J10:L10"/>
    <mergeCell ref="N10:O10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A30:P30"/>
    <mergeCell ref="D24:E24"/>
    <mergeCell ref="D25:E25"/>
    <mergeCell ref="J26:K26"/>
    <mergeCell ref="J27:K27"/>
    <mergeCell ref="J28:K28"/>
  </mergeCells>
  <pageMargins left="0.393999993801117" right="0.393999993801117" top="0.59100002050399802" bottom="0.59100002050399802" header="0" footer="0"/>
  <pageSetup fitToHeight="0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8"/>
  <sheetViews>
    <sheetView workbookViewId="0">
      <selection activeCell="A38" sqref="A38:I38"/>
    </sheetView>
  </sheetViews>
  <sheetFormatPr defaultColWidth="12.109375" defaultRowHeight="15" customHeight="1" x14ac:dyDescent="0.3"/>
  <cols>
    <col min="1" max="1" width="9.109375" customWidth="1"/>
    <col min="2" max="2" width="12.88671875" customWidth="1"/>
    <col min="3" max="3" width="27.109375" customWidth="1"/>
    <col min="4" max="4" width="10" customWidth="1"/>
    <col min="5" max="5" width="14" customWidth="1"/>
    <col min="6" max="6" width="27.109375" customWidth="1"/>
    <col min="7" max="7" width="9.109375" customWidth="1"/>
    <col min="8" max="8" width="12.88671875" customWidth="1"/>
    <col min="9" max="9" width="27.109375" customWidth="1"/>
  </cols>
  <sheetData>
    <row r="1" spans="1:9" ht="54.75" customHeight="1" x14ac:dyDescent="0.3">
      <c r="A1" s="138" t="s">
        <v>117</v>
      </c>
      <c r="B1" s="95"/>
      <c r="C1" s="95"/>
      <c r="D1" s="95"/>
      <c r="E1" s="95"/>
      <c r="F1" s="95"/>
      <c r="G1" s="95"/>
      <c r="H1" s="95"/>
      <c r="I1" s="95"/>
    </row>
    <row r="2" spans="1:9" ht="14.4" x14ac:dyDescent="0.3">
      <c r="A2" s="96" t="s">
        <v>1</v>
      </c>
      <c r="B2" s="87"/>
      <c r="C2" s="100" t="str">
        <f>'Stavební rozpočet'!D2</f>
        <v>Oprava hráze rybníčku</v>
      </c>
      <c r="D2" s="101"/>
      <c r="E2" s="86" t="s">
        <v>5</v>
      </c>
      <c r="F2" s="86" t="str">
        <f>'Stavební rozpočet'!K2</f>
        <v>SRŠ Vodňany</v>
      </c>
      <c r="G2" s="87"/>
      <c r="H2" s="86" t="s">
        <v>118</v>
      </c>
      <c r="I2" s="88" t="s">
        <v>56</v>
      </c>
    </row>
    <row r="3" spans="1:9" ht="15" customHeight="1" x14ac:dyDescent="0.3">
      <c r="A3" s="97"/>
      <c r="B3" s="70"/>
      <c r="C3" s="74"/>
      <c r="D3" s="74"/>
      <c r="E3" s="70"/>
      <c r="F3" s="70"/>
      <c r="G3" s="70"/>
      <c r="H3" s="70"/>
      <c r="I3" s="89"/>
    </row>
    <row r="4" spans="1:9" ht="14.4" x14ac:dyDescent="0.3">
      <c r="A4" s="98" t="s">
        <v>7</v>
      </c>
      <c r="B4" s="70"/>
      <c r="C4" s="69" t="str">
        <f>'Stavební rozpočet'!D4</f>
        <v xml:space="preserve"> </v>
      </c>
      <c r="D4" s="70"/>
      <c r="E4" s="69" t="s">
        <v>10</v>
      </c>
      <c r="F4" s="69" t="str">
        <f>'Stavební rozpočet'!K4</f>
        <v> </v>
      </c>
      <c r="G4" s="70"/>
      <c r="H4" s="69" t="s">
        <v>118</v>
      </c>
      <c r="I4" s="89" t="s">
        <v>56</v>
      </c>
    </row>
    <row r="5" spans="1:9" ht="15" customHeight="1" x14ac:dyDescent="0.3">
      <c r="A5" s="97"/>
      <c r="B5" s="70"/>
      <c r="C5" s="70"/>
      <c r="D5" s="70"/>
      <c r="E5" s="70"/>
      <c r="F5" s="70"/>
      <c r="G5" s="70"/>
      <c r="H5" s="70"/>
      <c r="I5" s="89"/>
    </row>
    <row r="6" spans="1:9" ht="14.4" x14ac:dyDescent="0.3">
      <c r="A6" s="98" t="s">
        <v>12</v>
      </c>
      <c r="B6" s="70"/>
      <c r="C6" s="69" t="str">
        <f>'Stavební rozpočet'!D6</f>
        <v>Vodňany</v>
      </c>
      <c r="D6" s="70"/>
      <c r="E6" s="69" t="s">
        <v>16</v>
      </c>
      <c r="F6" s="69" t="str">
        <f>'Stavební rozpočet'!K6</f>
        <v>Aleš Handšuh- PROZEMP</v>
      </c>
      <c r="G6" s="70"/>
      <c r="H6" s="69" t="s">
        <v>118</v>
      </c>
      <c r="I6" s="89" t="s">
        <v>119</v>
      </c>
    </row>
    <row r="7" spans="1:9" ht="15" customHeight="1" x14ac:dyDescent="0.3">
      <c r="A7" s="97"/>
      <c r="B7" s="70"/>
      <c r="C7" s="70"/>
      <c r="D7" s="70"/>
      <c r="E7" s="70"/>
      <c r="F7" s="70"/>
      <c r="G7" s="70"/>
      <c r="H7" s="70"/>
      <c r="I7" s="89"/>
    </row>
    <row r="8" spans="1:9" ht="14.4" x14ac:dyDescent="0.3">
      <c r="A8" s="98" t="s">
        <v>9</v>
      </c>
      <c r="B8" s="70"/>
      <c r="C8" s="69" t="str">
        <f>'Stavební rozpočet'!H4</f>
        <v>po uzavření smlouvy</v>
      </c>
      <c r="D8" s="70"/>
      <c r="E8" s="69" t="s">
        <v>14</v>
      </c>
      <c r="F8" s="69" t="str">
        <f>'Stavební rozpočet'!H6</f>
        <v>31.12.2025</v>
      </c>
      <c r="G8" s="70"/>
      <c r="H8" s="70" t="s">
        <v>120</v>
      </c>
      <c r="I8" s="139">
        <v>8</v>
      </c>
    </row>
    <row r="9" spans="1:9" ht="14.4" x14ac:dyDescent="0.3">
      <c r="A9" s="97"/>
      <c r="B9" s="70"/>
      <c r="C9" s="70"/>
      <c r="D9" s="70"/>
      <c r="E9" s="70"/>
      <c r="F9" s="70"/>
      <c r="G9" s="70"/>
      <c r="H9" s="70"/>
      <c r="I9" s="89"/>
    </row>
    <row r="10" spans="1:9" ht="14.4" x14ac:dyDescent="0.3">
      <c r="A10" s="98" t="s">
        <v>18</v>
      </c>
      <c r="B10" s="70"/>
      <c r="C10" s="69" t="str">
        <f>'Stavební rozpočet'!D8</f>
        <v xml:space="preserve"> </v>
      </c>
      <c r="D10" s="70"/>
      <c r="E10" s="69" t="s">
        <v>20</v>
      </c>
      <c r="F10" s="69" t="str">
        <f>'Stavební rozpočet'!K8</f>
        <v>Aleš Handšuh-PROZEMP</v>
      </c>
      <c r="G10" s="70"/>
      <c r="H10" s="70" t="s">
        <v>121</v>
      </c>
      <c r="I10" s="132">
        <f>'Stavební rozpočet'!H8</f>
        <v>45948</v>
      </c>
    </row>
    <row r="11" spans="1:9" ht="14.4" x14ac:dyDescent="0.3">
      <c r="A11" s="137"/>
      <c r="B11" s="72"/>
      <c r="C11" s="72"/>
      <c r="D11" s="72"/>
      <c r="E11" s="72"/>
      <c r="F11" s="72"/>
      <c r="G11" s="72"/>
      <c r="H11" s="72"/>
      <c r="I11" s="133"/>
    </row>
    <row r="12" spans="1:9" ht="22.8" x14ac:dyDescent="0.3">
      <c r="A12" s="134" t="s">
        <v>122</v>
      </c>
      <c r="B12" s="134"/>
      <c r="C12" s="134"/>
      <c r="D12" s="134"/>
      <c r="E12" s="134"/>
      <c r="F12" s="134"/>
      <c r="G12" s="134"/>
      <c r="H12" s="134"/>
      <c r="I12" s="134"/>
    </row>
    <row r="13" spans="1:9" ht="26.25" customHeight="1" x14ac:dyDescent="0.3">
      <c r="A13" s="47" t="s">
        <v>123</v>
      </c>
      <c r="B13" s="135" t="s">
        <v>124</v>
      </c>
      <c r="C13" s="136"/>
      <c r="D13" s="48" t="s">
        <v>125</v>
      </c>
      <c r="E13" s="135" t="s">
        <v>126</v>
      </c>
      <c r="F13" s="136"/>
      <c r="G13" s="48" t="s">
        <v>127</v>
      </c>
      <c r="H13" s="135" t="s">
        <v>128</v>
      </c>
      <c r="I13" s="136"/>
    </row>
    <row r="14" spans="1:9" ht="15.6" x14ac:dyDescent="0.3">
      <c r="A14" s="49" t="s">
        <v>129</v>
      </c>
      <c r="B14" s="50" t="s">
        <v>130</v>
      </c>
      <c r="C14" s="51">
        <f>SUM('Stavební rozpočet'!AB12:AB25)</f>
        <v>30634.050000000003</v>
      </c>
      <c r="D14" s="122" t="s">
        <v>131</v>
      </c>
      <c r="E14" s="123"/>
      <c r="F14" s="51">
        <f>VORN!I15</f>
        <v>0</v>
      </c>
      <c r="G14" s="122" t="s">
        <v>132</v>
      </c>
      <c r="H14" s="123"/>
      <c r="I14" s="51">
        <f>VORN!I21</f>
        <v>0</v>
      </c>
    </row>
    <row r="15" spans="1:9" ht="15.6" x14ac:dyDescent="0.3">
      <c r="A15" s="52" t="s">
        <v>56</v>
      </c>
      <c r="B15" s="50" t="s">
        <v>39</v>
      </c>
      <c r="C15" s="51">
        <f>SUM('Stavební rozpočet'!AC12:AC25)</f>
        <v>87354.95</v>
      </c>
      <c r="D15" s="122" t="s">
        <v>133</v>
      </c>
      <c r="E15" s="123"/>
      <c r="F15" s="51">
        <f>VORN!I16</f>
        <v>0</v>
      </c>
      <c r="G15" s="122" t="s">
        <v>134</v>
      </c>
      <c r="H15" s="123"/>
      <c r="I15" s="51">
        <f>VORN!I22</f>
        <v>0</v>
      </c>
    </row>
    <row r="16" spans="1:9" ht="15.6" x14ac:dyDescent="0.3">
      <c r="A16" s="49" t="s">
        <v>135</v>
      </c>
      <c r="B16" s="50" t="s">
        <v>130</v>
      </c>
      <c r="C16" s="51">
        <f>SUM('Stavební rozpočet'!AD12:AD25)</f>
        <v>0</v>
      </c>
      <c r="D16" s="122" t="s">
        <v>136</v>
      </c>
      <c r="E16" s="123"/>
      <c r="F16" s="51">
        <f>VORN!I17</f>
        <v>0</v>
      </c>
      <c r="G16" s="122" t="s">
        <v>137</v>
      </c>
      <c r="H16" s="123"/>
      <c r="I16" s="51">
        <f>VORN!I23</f>
        <v>0</v>
      </c>
    </row>
    <row r="17" spans="1:9" ht="15.6" x14ac:dyDescent="0.3">
      <c r="A17" s="52" t="s">
        <v>56</v>
      </c>
      <c r="B17" s="50" t="s">
        <v>39</v>
      </c>
      <c r="C17" s="51">
        <f>SUM('Stavební rozpočet'!AE12:AE25)</f>
        <v>0</v>
      </c>
      <c r="D17" s="122" t="s">
        <v>56</v>
      </c>
      <c r="E17" s="123"/>
      <c r="F17" s="53" t="s">
        <v>56</v>
      </c>
      <c r="G17" s="122" t="s">
        <v>138</v>
      </c>
      <c r="H17" s="123"/>
      <c r="I17" s="51">
        <f>VORN!I24</f>
        <v>0</v>
      </c>
    </row>
    <row r="18" spans="1:9" ht="15.6" x14ac:dyDescent="0.3">
      <c r="A18" s="49" t="s">
        <v>139</v>
      </c>
      <c r="B18" s="50" t="s">
        <v>130</v>
      </c>
      <c r="C18" s="51">
        <f>SUM('Stavební rozpočet'!AF12:AF25)</f>
        <v>0</v>
      </c>
      <c r="D18" s="122" t="s">
        <v>56</v>
      </c>
      <c r="E18" s="123"/>
      <c r="F18" s="53" t="s">
        <v>56</v>
      </c>
      <c r="G18" s="122" t="s">
        <v>140</v>
      </c>
      <c r="H18" s="123"/>
      <c r="I18" s="51">
        <f>VORN!I25</f>
        <v>0</v>
      </c>
    </row>
    <row r="19" spans="1:9" ht="15.6" x14ac:dyDescent="0.3">
      <c r="A19" s="52" t="s">
        <v>56</v>
      </c>
      <c r="B19" s="50" t="s">
        <v>39</v>
      </c>
      <c r="C19" s="51">
        <f>SUM('Stavební rozpočet'!AG12:AG25)</f>
        <v>0</v>
      </c>
      <c r="D19" s="122" t="s">
        <v>56</v>
      </c>
      <c r="E19" s="123"/>
      <c r="F19" s="53" t="s">
        <v>56</v>
      </c>
      <c r="G19" s="122" t="s">
        <v>141</v>
      </c>
      <c r="H19" s="123"/>
      <c r="I19" s="51">
        <f>VORN!I26</f>
        <v>0</v>
      </c>
    </row>
    <row r="20" spans="1:9" ht="15.6" x14ac:dyDescent="0.3">
      <c r="A20" s="114" t="s">
        <v>101</v>
      </c>
      <c r="B20" s="115"/>
      <c r="C20" s="51">
        <f>SUM('Stavební rozpočet'!AH12:AH25)</f>
        <v>36319</v>
      </c>
      <c r="D20" s="122" t="s">
        <v>56</v>
      </c>
      <c r="E20" s="123"/>
      <c r="F20" s="53" t="s">
        <v>56</v>
      </c>
      <c r="G20" s="122" t="s">
        <v>56</v>
      </c>
      <c r="H20" s="123"/>
      <c r="I20" s="53" t="s">
        <v>56</v>
      </c>
    </row>
    <row r="21" spans="1:9" ht="15.6" x14ac:dyDescent="0.3">
      <c r="A21" s="129" t="s">
        <v>142</v>
      </c>
      <c r="B21" s="130"/>
      <c r="C21" s="54">
        <f>SUM('Stavební rozpočet'!Z12:Z25)</f>
        <v>58652.5</v>
      </c>
      <c r="D21" s="124" t="s">
        <v>56</v>
      </c>
      <c r="E21" s="125"/>
      <c r="F21" s="55" t="s">
        <v>56</v>
      </c>
      <c r="G21" s="124" t="s">
        <v>56</v>
      </c>
      <c r="H21" s="125"/>
      <c r="I21" s="55" t="s">
        <v>56</v>
      </c>
    </row>
    <row r="22" spans="1:9" ht="16.5" customHeight="1" x14ac:dyDescent="0.3">
      <c r="A22" s="131" t="s">
        <v>143</v>
      </c>
      <c r="B22" s="127"/>
      <c r="C22" s="56">
        <f>ROUND(SUM(C14:C21),2)</f>
        <v>212960.5</v>
      </c>
      <c r="D22" s="126" t="s">
        <v>144</v>
      </c>
      <c r="E22" s="127"/>
      <c r="F22" s="56">
        <f>SUM(F14:F21)</f>
        <v>0</v>
      </c>
      <c r="G22" s="126" t="s">
        <v>145</v>
      </c>
      <c r="H22" s="127"/>
      <c r="I22" s="56">
        <f>SUM(I14:I21)</f>
        <v>0</v>
      </c>
    </row>
    <row r="23" spans="1:9" ht="15.6" x14ac:dyDescent="0.3">
      <c r="A23" s="114" t="s">
        <v>146</v>
      </c>
      <c r="B23" s="115"/>
      <c r="C23" s="51">
        <v>23</v>
      </c>
      <c r="D23" s="128" t="s">
        <v>147</v>
      </c>
      <c r="E23" s="115"/>
      <c r="F23" s="57">
        <v>0</v>
      </c>
      <c r="G23" s="128" t="s">
        <v>148</v>
      </c>
      <c r="H23" s="115"/>
      <c r="I23" s="51">
        <v>0</v>
      </c>
    </row>
    <row r="24" spans="1:9" ht="15.6" x14ac:dyDescent="0.3">
      <c r="A24" s="114" t="s">
        <v>149</v>
      </c>
      <c r="B24" s="115"/>
      <c r="C24" s="51">
        <f>ROUND(C22*(1-C23/100),2)</f>
        <v>163979.59</v>
      </c>
      <c r="G24" s="114" t="s">
        <v>150</v>
      </c>
      <c r="H24" s="115"/>
      <c r="I24" s="51">
        <f>vorn_sum</f>
        <v>0</v>
      </c>
    </row>
    <row r="25" spans="1:9" ht="15.6" x14ac:dyDescent="0.3">
      <c r="G25" s="114" t="s">
        <v>151</v>
      </c>
      <c r="H25" s="115"/>
      <c r="I25" s="51">
        <v>0</v>
      </c>
    </row>
    <row r="28" spans="1:9" ht="15.6" x14ac:dyDescent="0.3">
      <c r="A28" s="116" t="s">
        <v>152</v>
      </c>
      <c r="B28" s="117"/>
      <c r="C28" s="58">
        <f>ROUND(SUM('Stavební rozpočet'!AJ12:AJ25)*(1-C23/100),2)</f>
        <v>0</v>
      </c>
    </row>
    <row r="29" spans="1:9" ht="15.6" x14ac:dyDescent="0.3">
      <c r="A29" s="118" t="s">
        <v>153</v>
      </c>
      <c r="B29" s="119"/>
      <c r="C29" s="59">
        <f>ROUND(SUM('Stavební rozpočet'!AK12:AK25)*(1-C23/100),2)</f>
        <v>0</v>
      </c>
      <c r="D29" s="120" t="s">
        <v>154</v>
      </c>
      <c r="E29" s="117"/>
      <c r="F29" s="58">
        <f>ROUND(C29*(12/100),2)</f>
        <v>0</v>
      </c>
      <c r="G29" s="120" t="s">
        <v>155</v>
      </c>
      <c r="H29" s="117"/>
      <c r="I29" s="58">
        <f>ROUND(SUM(C28:C30),2)</f>
        <v>163979.59</v>
      </c>
    </row>
    <row r="30" spans="1:9" ht="15.6" x14ac:dyDescent="0.3">
      <c r="A30" s="118" t="s">
        <v>156</v>
      </c>
      <c r="B30" s="119"/>
      <c r="C30" s="59">
        <f>ROUND(SUM('Stavební rozpočet'!AL12:AL25)*(1-C23/100)+(F22+I22+F23+I23+I24+I25),2)</f>
        <v>163979.59</v>
      </c>
      <c r="D30" s="121" t="s">
        <v>157</v>
      </c>
      <c r="E30" s="119"/>
      <c r="F30" s="59">
        <f>ROUND(C30*(21/100),2)</f>
        <v>34435.71</v>
      </c>
      <c r="G30" s="121" t="s">
        <v>158</v>
      </c>
      <c r="H30" s="119"/>
      <c r="I30" s="59">
        <f>ROUND(SUM(F29:F30)+I29,2)</f>
        <v>198415.3</v>
      </c>
    </row>
    <row r="32" spans="1:9" x14ac:dyDescent="0.3">
      <c r="A32" s="111" t="s">
        <v>159</v>
      </c>
      <c r="B32" s="103"/>
      <c r="C32" s="104"/>
      <c r="D32" s="102" t="s">
        <v>160</v>
      </c>
      <c r="E32" s="103"/>
      <c r="F32" s="104"/>
      <c r="G32" s="102" t="s">
        <v>161</v>
      </c>
      <c r="H32" s="103"/>
      <c r="I32" s="104"/>
    </row>
    <row r="33" spans="1:9" x14ac:dyDescent="0.3">
      <c r="A33" s="112" t="s">
        <v>56</v>
      </c>
      <c r="B33" s="106"/>
      <c r="C33" s="107"/>
      <c r="D33" s="105" t="s">
        <v>56</v>
      </c>
      <c r="E33" s="106"/>
      <c r="F33" s="107"/>
      <c r="G33" s="105" t="s">
        <v>56</v>
      </c>
      <c r="H33" s="106"/>
      <c r="I33" s="107"/>
    </row>
    <row r="34" spans="1:9" x14ac:dyDescent="0.3">
      <c r="A34" s="112" t="s">
        <v>56</v>
      </c>
      <c r="B34" s="106"/>
      <c r="C34" s="107"/>
      <c r="D34" s="105" t="s">
        <v>56</v>
      </c>
      <c r="E34" s="106"/>
      <c r="F34" s="107"/>
      <c r="G34" s="105" t="s">
        <v>56</v>
      </c>
      <c r="H34" s="106"/>
      <c r="I34" s="107"/>
    </row>
    <row r="35" spans="1:9" x14ac:dyDescent="0.3">
      <c r="A35" s="112" t="s">
        <v>56</v>
      </c>
      <c r="B35" s="106"/>
      <c r="C35" s="107"/>
      <c r="D35" s="105" t="s">
        <v>56</v>
      </c>
      <c r="E35" s="106"/>
      <c r="F35" s="107"/>
      <c r="G35" s="105" t="s">
        <v>56</v>
      </c>
      <c r="H35" s="106"/>
      <c r="I35" s="107"/>
    </row>
    <row r="36" spans="1:9" x14ac:dyDescent="0.3">
      <c r="A36" s="113" t="s">
        <v>162</v>
      </c>
      <c r="B36" s="109"/>
      <c r="C36" s="110"/>
      <c r="D36" s="108" t="s">
        <v>162</v>
      </c>
      <c r="E36" s="109"/>
      <c r="F36" s="110"/>
      <c r="G36" s="108" t="s">
        <v>162</v>
      </c>
      <c r="H36" s="109"/>
      <c r="I36" s="110"/>
    </row>
    <row r="37" spans="1:9" ht="14.4" x14ac:dyDescent="0.3">
      <c r="A37" s="60" t="s">
        <v>116</v>
      </c>
    </row>
    <row r="38" spans="1:9" ht="12.75" customHeight="1" x14ac:dyDescent="0.3">
      <c r="A38" s="69" t="s">
        <v>56</v>
      </c>
      <c r="B38" s="70"/>
      <c r="C38" s="70"/>
      <c r="D38" s="70"/>
      <c r="E38" s="70"/>
      <c r="F38" s="70"/>
      <c r="G38" s="70"/>
      <c r="H38" s="70"/>
      <c r="I38" s="70"/>
    </row>
  </sheetData>
  <mergeCells count="85">
    <mergeCell ref="A1:I1"/>
    <mergeCell ref="A2:B3"/>
    <mergeCell ref="A4:B5"/>
    <mergeCell ref="A6:B7"/>
    <mergeCell ref="A8:B9"/>
    <mergeCell ref="F2:G3"/>
    <mergeCell ref="F4:G5"/>
    <mergeCell ref="F6:G7"/>
    <mergeCell ref="F8:G9"/>
    <mergeCell ref="I2:I3"/>
    <mergeCell ref="I4:I5"/>
    <mergeCell ref="I6:I7"/>
    <mergeCell ref="I8:I9"/>
    <mergeCell ref="C2:D3"/>
    <mergeCell ref="C4:D5"/>
    <mergeCell ref="C6:D7"/>
    <mergeCell ref="C8:D9"/>
    <mergeCell ref="C10:D11"/>
    <mergeCell ref="E2:E3"/>
    <mergeCell ref="E4:E5"/>
    <mergeCell ref="E6:E7"/>
    <mergeCell ref="E8:E9"/>
    <mergeCell ref="E10:E11"/>
    <mergeCell ref="H2:H3"/>
    <mergeCell ref="H4:H5"/>
    <mergeCell ref="H6:H7"/>
    <mergeCell ref="H8:H9"/>
    <mergeCell ref="H10:H11"/>
    <mergeCell ref="I10:I11"/>
    <mergeCell ref="A12:I12"/>
    <mergeCell ref="B13:C13"/>
    <mergeCell ref="E13:F13"/>
    <mergeCell ref="H13:I13"/>
    <mergeCell ref="F10:G11"/>
    <mergeCell ref="A10:B11"/>
    <mergeCell ref="A20:B20"/>
    <mergeCell ref="A21:B21"/>
    <mergeCell ref="A22:B22"/>
    <mergeCell ref="A23:B23"/>
    <mergeCell ref="A24:B24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G14:H14"/>
    <mergeCell ref="G15:H15"/>
    <mergeCell ref="G16:H16"/>
    <mergeCell ref="G17:H17"/>
    <mergeCell ref="G18:H18"/>
    <mergeCell ref="G19:H19"/>
    <mergeCell ref="G20:H20"/>
    <mergeCell ref="G21:H21"/>
    <mergeCell ref="G22:H22"/>
    <mergeCell ref="G23:H23"/>
    <mergeCell ref="G24:H24"/>
    <mergeCell ref="G25:H25"/>
    <mergeCell ref="A28:B28"/>
    <mergeCell ref="A29:B29"/>
    <mergeCell ref="A30:B30"/>
    <mergeCell ref="D29:E29"/>
    <mergeCell ref="D30:E30"/>
    <mergeCell ref="G29:H29"/>
    <mergeCell ref="G30:H30"/>
    <mergeCell ref="A38:I38"/>
    <mergeCell ref="G32:I32"/>
    <mergeCell ref="G33:I33"/>
    <mergeCell ref="G34:I34"/>
    <mergeCell ref="G35:I35"/>
    <mergeCell ref="G36:I36"/>
    <mergeCell ref="D32:F32"/>
    <mergeCell ref="D33:F33"/>
    <mergeCell ref="D34:F34"/>
    <mergeCell ref="D35:F35"/>
    <mergeCell ref="D36:F36"/>
    <mergeCell ref="A32:C32"/>
    <mergeCell ref="A33:C33"/>
    <mergeCell ref="A34:C34"/>
    <mergeCell ref="A35:C35"/>
    <mergeCell ref="A36:C36"/>
  </mergeCells>
  <pageMargins left="0.393999993801117" right="0.393999993801117" top="0.59100002050399802" bottom="0.59100002050399802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6"/>
  <sheetViews>
    <sheetView workbookViewId="0">
      <selection activeCell="A36" sqref="A36:E36"/>
    </sheetView>
  </sheetViews>
  <sheetFormatPr defaultColWidth="12.109375" defaultRowHeight="15" customHeight="1" x14ac:dyDescent="0.3"/>
  <cols>
    <col min="1" max="1" width="9.109375" customWidth="1"/>
    <col min="2" max="2" width="12.88671875" customWidth="1"/>
    <col min="3" max="3" width="22.88671875" customWidth="1"/>
    <col min="4" max="4" width="10" customWidth="1"/>
    <col min="5" max="5" width="14" customWidth="1"/>
    <col min="6" max="6" width="22.88671875" customWidth="1"/>
    <col min="7" max="7" width="9.109375" customWidth="1"/>
    <col min="8" max="8" width="17.109375" customWidth="1"/>
    <col min="9" max="9" width="22.88671875" customWidth="1"/>
  </cols>
  <sheetData>
    <row r="1" spans="1:9" ht="54.75" customHeight="1" x14ac:dyDescent="0.3">
      <c r="A1" s="138" t="s">
        <v>163</v>
      </c>
      <c r="B1" s="95"/>
      <c r="C1" s="95"/>
      <c r="D1" s="95"/>
      <c r="E1" s="95"/>
      <c r="F1" s="95"/>
      <c r="G1" s="95"/>
      <c r="H1" s="95"/>
      <c r="I1" s="95"/>
    </row>
    <row r="2" spans="1:9" ht="14.4" x14ac:dyDescent="0.3">
      <c r="A2" s="96" t="s">
        <v>1</v>
      </c>
      <c r="B2" s="87"/>
      <c r="C2" s="100" t="str">
        <f>'Stavební rozpočet'!D2</f>
        <v>Oprava hráze rybníčku</v>
      </c>
      <c r="D2" s="101"/>
      <c r="E2" s="86" t="s">
        <v>5</v>
      </c>
      <c r="F2" s="86" t="str">
        <f>'Stavební rozpočet'!K2</f>
        <v>SRŠ Vodňany</v>
      </c>
      <c r="G2" s="87"/>
      <c r="H2" s="86" t="s">
        <v>118</v>
      </c>
      <c r="I2" s="88" t="s">
        <v>56</v>
      </c>
    </row>
    <row r="3" spans="1:9" ht="15" customHeight="1" x14ac:dyDescent="0.3">
      <c r="A3" s="97"/>
      <c r="B3" s="70"/>
      <c r="C3" s="74"/>
      <c r="D3" s="74"/>
      <c r="E3" s="70"/>
      <c r="F3" s="70"/>
      <c r="G3" s="70"/>
      <c r="H3" s="70"/>
      <c r="I3" s="89"/>
    </row>
    <row r="4" spans="1:9" ht="14.4" x14ac:dyDescent="0.3">
      <c r="A4" s="98" t="s">
        <v>7</v>
      </c>
      <c r="B4" s="70"/>
      <c r="C4" s="69" t="str">
        <f>'Stavební rozpočet'!D4</f>
        <v xml:space="preserve"> </v>
      </c>
      <c r="D4" s="70"/>
      <c r="E4" s="69" t="s">
        <v>10</v>
      </c>
      <c r="F4" s="69" t="str">
        <f>'Stavební rozpočet'!K4</f>
        <v> </v>
      </c>
      <c r="G4" s="70"/>
      <c r="H4" s="69" t="s">
        <v>118</v>
      </c>
      <c r="I4" s="89" t="s">
        <v>56</v>
      </c>
    </row>
    <row r="5" spans="1:9" ht="15" customHeight="1" x14ac:dyDescent="0.3">
      <c r="A5" s="97"/>
      <c r="B5" s="70"/>
      <c r="C5" s="70"/>
      <c r="D5" s="70"/>
      <c r="E5" s="70"/>
      <c r="F5" s="70"/>
      <c r="G5" s="70"/>
      <c r="H5" s="70"/>
      <c r="I5" s="89"/>
    </row>
    <row r="6" spans="1:9" ht="14.4" x14ac:dyDescent="0.3">
      <c r="A6" s="98" t="s">
        <v>12</v>
      </c>
      <c r="B6" s="70"/>
      <c r="C6" s="69" t="str">
        <f>'Stavební rozpočet'!D6</f>
        <v>Vodňany</v>
      </c>
      <c r="D6" s="70"/>
      <c r="E6" s="69" t="s">
        <v>16</v>
      </c>
      <c r="F6" s="69" t="str">
        <f>'Stavební rozpočet'!K6</f>
        <v>Aleš Handšuh- PROZEMP</v>
      </c>
      <c r="G6" s="70"/>
      <c r="H6" s="69" t="s">
        <v>118</v>
      </c>
      <c r="I6" s="89" t="s">
        <v>119</v>
      </c>
    </row>
    <row r="7" spans="1:9" ht="15" customHeight="1" x14ac:dyDescent="0.3">
      <c r="A7" s="97"/>
      <c r="B7" s="70"/>
      <c r="C7" s="70"/>
      <c r="D7" s="70"/>
      <c r="E7" s="70"/>
      <c r="F7" s="70"/>
      <c r="G7" s="70"/>
      <c r="H7" s="70"/>
      <c r="I7" s="89"/>
    </row>
    <row r="8" spans="1:9" ht="14.4" x14ac:dyDescent="0.3">
      <c r="A8" s="98" t="s">
        <v>9</v>
      </c>
      <c r="B8" s="70"/>
      <c r="C8" s="69" t="str">
        <f>'Stavební rozpočet'!H4</f>
        <v>po uzavření smlouvy</v>
      </c>
      <c r="D8" s="70"/>
      <c r="E8" s="69" t="s">
        <v>14</v>
      </c>
      <c r="F8" s="69" t="str">
        <f>'Stavební rozpočet'!H6</f>
        <v>31.12.2025</v>
      </c>
      <c r="G8" s="70"/>
      <c r="H8" s="70" t="s">
        <v>120</v>
      </c>
      <c r="I8" s="139">
        <v>8</v>
      </c>
    </row>
    <row r="9" spans="1:9" ht="14.4" x14ac:dyDescent="0.3">
      <c r="A9" s="97"/>
      <c r="B9" s="70"/>
      <c r="C9" s="70"/>
      <c r="D9" s="70"/>
      <c r="E9" s="70"/>
      <c r="F9" s="70"/>
      <c r="G9" s="70"/>
      <c r="H9" s="70"/>
      <c r="I9" s="89"/>
    </row>
    <row r="10" spans="1:9" ht="14.4" x14ac:dyDescent="0.3">
      <c r="A10" s="98" t="s">
        <v>18</v>
      </c>
      <c r="B10" s="70"/>
      <c r="C10" s="69" t="str">
        <f>'Stavební rozpočet'!D8</f>
        <v xml:space="preserve"> </v>
      </c>
      <c r="D10" s="70"/>
      <c r="E10" s="69" t="s">
        <v>20</v>
      </c>
      <c r="F10" s="69" t="str">
        <f>'Stavební rozpočet'!K8</f>
        <v>Aleš Handšuh-PROZEMP</v>
      </c>
      <c r="G10" s="70"/>
      <c r="H10" s="70" t="s">
        <v>121</v>
      </c>
      <c r="I10" s="132">
        <f>'Stavební rozpočet'!H8</f>
        <v>45948</v>
      </c>
    </row>
    <row r="11" spans="1:9" ht="14.4" x14ac:dyDescent="0.3">
      <c r="A11" s="137"/>
      <c r="B11" s="72"/>
      <c r="C11" s="72"/>
      <c r="D11" s="72"/>
      <c r="E11" s="72"/>
      <c r="F11" s="72"/>
      <c r="G11" s="72"/>
      <c r="H11" s="72"/>
      <c r="I11" s="133"/>
    </row>
    <row r="13" spans="1:9" ht="15.6" x14ac:dyDescent="0.3">
      <c r="A13" s="149" t="s">
        <v>164</v>
      </c>
      <c r="B13" s="149"/>
      <c r="C13" s="149"/>
      <c r="D13" s="149"/>
      <c r="E13" s="149"/>
    </row>
    <row r="14" spans="1:9" ht="14.4" x14ac:dyDescent="0.3">
      <c r="A14" s="150" t="s">
        <v>165</v>
      </c>
      <c r="B14" s="151"/>
      <c r="C14" s="151"/>
      <c r="D14" s="151"/>
      <c r="E14" s="152"/>
      <c r="F14" s="61" t="s">
        <v>166</v>
      </c>
      <c r="G14" s="61" t="s">
        <v>167</v>
      </c>
      <c r="H14" s="61" t="s">
        <v>168</v>
      </c>
      <c r="I14" s="61" t="s">
        <v>166</v>
      </c>
    </row>
    <row r="15" spans="1:9" ht="14.4" x14ac:dyDescent="0.3">
      <c r="A15" s="156" t="s">
        <v>131</v>
      </c>
      <c r="B15" s="157"/>
      <c r="C15" s="157"/>
      <c r="D15" s="157"/>
      <c r="E15" s="158"/>
      <c r="F15" s="62">
        <v>0</v>
      </c>
      <c r="G15" s="63" t="s">
        <v>56</v>
      </c>
      <c r="H15" s="63" t="s">
        <v>56</v>
      </c>
      <c r="I15" s="62">
        <f>F15</f>
        <v>0</v>
      </c>
    </row>
    <row r="16" spans="1:9" ht="14.4" x14ac:dyDescent="0.3">
      <c r="A16" s="156" t="s">
        <v>133</v>
      </c>
      <c r="B16" s="157"/>
      <c r="C16" s="157"/>
      <c r="D16" s="157"/>
      <c r="E16" s="158"/>
      <c r="F16" s="62">
        <v>0</v>
      </c>
      <c r="G16" s="63" t="s">
        <v>56</v>
      </c>
      <c r="H16" s="63" t="s">
        <v>56</v>
      </c>
      <c r="I16" s="62">
        <f>F16</f>
        <v>0</v>
      </c>
    </row>
    <row r="17" spans="1:9" ht="14.4" x14ac:dyDescent="0.3">
      <c r="A17" s="153" t="s">
        <v>136</v>
      </c>
      <c r="B17" s="154"/>
      <c r="C17" s="154"/>
      <c r="D17" s="154"/>
      <c r="E17" s="155"/>
      <c r="F17" s="64">
        <v>0</v>
      </c>
      <c r="G17" s="65" t="s">
        <v>56</v>
      </c>
      <c r="H17" s="65" t="s">
        <v>56</v>
      </c>
      <c r="I17" s="64">
        <f>F17</f>
        <v>0</v>
      </c>
    </row>
    <row r="18" spans="1:9" ht="14.4" x14ac:dyDescent="0.3">
      <c r="A18" s="140" t="s">
        <v>169</v>
      </c>
      <c r="B18" s="141"/>
      <c r="C18" s="141"/>
      <c r="D18" s="141"/>
      <c r="E18" s="142"/>
      <c r="F18" s="66" t="s">
        <v>56</v>
      </c>
      <c r="G18" s="67" t="s">
        <v>56</v>
      </c>
      <c r="H18" s="67" t="s">
        <v>56</v>
      </c>
      <c r="I18" s="68">
        <f>SUM(I15:I17)</f>
        <v>0</v>
      </c>
    </row>
    <row r="20" spans="1:9" ht="14.4" x14ac:dyDescent="0.3">
      <c r="A20" s="150" t="s">
        <v>128</v>
      </c>
      <c r="B20" s="151"/>
      <c r="C20" s="151"/>
      <c r="D20" s="151"/>
      <c r="E20" s="152"/>
      <c r="F20" s="61" t="s">
        <v>166</v>
      </c>
      <c r="G20" s="61" t="s">
        <v>167</v>
      </c>
      <c r="H20" s="61" t="s">
        <v>168</v>
      </c>
      <c r="I20" s="61" t="s">
        <v>166</v>
      </c>
    </row>
    <row r="21" spans="1:9" ht="14.4" x14ac:dyDescent="0.3">
      <c r="A21" s="156" t="s">
        <v>132</v>
      </c>
      <c r="B21" s="157"/>
      <c r="C21" s="157"/>
      <c r="D21" s="157"/>
      <c r="E21" s="158"/>
      <c r="F21" s="62">
        <v>0</v>
      </c>
      <c r="G21" s="63" t="s">
        <v>56</v>
      </c>
      <c r="H21" s="63" t="s">
        <v>56</v>
      </c>
      <c r="I21" s="62">
        <f t="shared" ref="I21:I26" si="0">F21</f>
        <v>0</v>
      </c>
    </row>
    <row r="22" spans="1:9" ht="14.4" x14ac:dyDescent="0.3">
      <c r="A22" s="156" t="s">
        <v>134</v>
      </c>
      <c r="B22" s="157"/>
      <c r="C22" s="157"/>
      <c r="D22" s="157"/>
      <c r="E22" s="158"/>
      <c r="F22" s="62">
        <v>0</v>
      </c>
      <c r="G22" s="63" t="s">
        <v>56</v>
      </c>
      <c r="H22" s="63" t="s">
        <v>56</v>
      </c>
      <c r="I22" s="62">
        <f t="shared" si="0"/>
        <v>0</v>
      </c>
    </row>
    <row r="23" spans="1:9" ht="14.4" x14ac:dyDescent="0.3">
      <c r="A23" s="156" t="s">
        <v>137</v>
      </c>
      <c r="B23" s="157"/>
      <c r="C23" s="157"/>
      <c r="D23" s="157"/>
      <c r="E23" s="158"/>
      <c r="F23" s="62">
        <v>0</v>
      </c>
      <c r="G23" s="63" t="s">
        <v>56</v>
      </c>
      <c r="H23" s="63" t="s">
        <v>56</v>
      </c>
      <c r="I23" s="62">
        <f t="shared" si="0"/>
        <v>0</v>
      </c>
    </row>
    <row r="24" spans="1:9" ht="14.4" x14ac:dyDescent="0.3">
      <c r="A24" s="156" t="s">
        <v>138</v>
      </c>
      <c r="B24" s="157"/>
      <c r="C24" s="157"/>
      <c r="D24" s="157"/>
      <c r="E24" s="158"/>
      <c r="F24" s="62">
        <v>0</v>
      </c>
      <c r="G24" s="63" t="s">
        <v>56</v>
      </c>
      <c r="H24" s="63" t="s">
        <v>56</v>
      </c>
      <c r="I24" s="62">
        <f t="shared" si="0"/>
        <v>0</v>
      </c>
    </row>
    <row r="25" spans="1:9" ht="14.4" x14ac:dyDescent="0.3">
      <c r="A25" s="156" t="s">
        <v>140</v>
      </c>
      <c r="B25" s="157"/>
      <c r="C25" s="157"/>
      <c r="D25" s="157"/>
      <c r="E25" s="158"/>
      <c r="F25" s="62">
        <v>0</v>
      </c>
      <c r="G25" s="63" t="s">
        <v>56</v>
      </c>
      <c r="H25" s="63" t="s">
        <v>56</v>
      </c>
      <c r="I25" s="62">
        <f t="shared" si="0"/>
        <v>0</v>
      </c>
    </row>
    <row r="26" spans="1:9" ht="14.4" x14ac:dyDescent="0.3">
      <c r="A26" s="153" t="s">
        <v>141</v>
      </c>
      <c r="B26" s="154"/>
      <c r="C26" s="154"/>
      <c r="D26" s="154"/>
      <c r="E26" s="155"/>
      <c r="F26" s="64">
        <v>0</v>
      </c>
      <c r="G26" s="65" t="s">
        <v>56</v>
      </c>
      <c r="H26" s="65" t="s">
        <v>56</v>
      </c>
      <c r="I26" s="64">
        <f t="shared" si="0"/>
        <v>0</v>
      </c>
    </row>
    <row r="27" spans="1:9" ht="14.4" x14ac:dyDescent="0.3">
      <c r="A27" s="140" t="s">
        <v>170</v>
      </c>
      <c r="B27" s="141"/>
      <c r="C27" s="141"/>
      <c r="D27" s="141"/>
      <c r="E27" s="142"/>
      <c r="F27" s="66" t="s">
        <v>56</v>
      </c>
      <c r="G27" s="67" t="s">
        <v>56</v>
      </c>
      <c r="H27" s="67" t="s">
        <v>56</v>
      </c>
      <c r="I27" s="68">
        <f>SUM(I21:I26)</f>
        <v>0</v>
      </c>
    </row>
    <row r="29" spans="1:9" ht="15.6" x14ac:dyDescent="0.3">
      <c r="A29" s="143" t="s">
        <v>171</v>
      </c>
      <c r="B29" s="144"/>
      <c r="C29" s="144"/>
      <c r="D29" s="144"/>
      <c r="E29" s="145"/>
      <c r="F29" s="146">
        <f>I18+I27</f>
        <v>0</v>
      </c>
      <c r="G29" s="147"/>
      <c r="H29" s="147"/>
      <c r="I29" s="148"/>
    </row>
    <row r="33" spans="1:9" ht="15.6" x14ac:dyDescent="0.3">
      <c r="A33" s="149" t="s">
        <v>172</v>
      </c>
      <c r="B33" s="149"/>
      <c r="C33" s="149"/>
      <c r="D33" s="149"/>
      <c r="E33" s="149"/>
    </row>
    <row r="34" spans="1:9" ht="14.4" x14ac:dyDescent="0.3">
      <c r="A34" s="150" t="s">
        <v>173</v>
      </c>
      <c r="B34" s="151"/>
      <c r="C34" s="151"/>
      <c r="D34" s="151"/>
      <c r="E34" s="152"/>
      <c r="F34" s="61" t="s">
        <v>166</v>
      </c>
      <c r="G34" s="61" t="s">
        <v>167</v>
      </c>
      <c r="H34" s="61" t="s">
        <v>168</v>
      </c>
      <c r="I34" s="61" t="s">
        <v>166</v>
      </c>
    </row>
    <row r="35" spans="1:9" ht="14.4" x14ac:dyDescent="0.3">
      <c r="A35" s="153" t="s">
        <v>56</v>
      </c>
      <c r="B35" s="154"/>
      <c r="C35" s="154"/>
      <c r="D35" s="154"/>
      <c r="E35" s="155"/>
      <c r="F35" s="64">
        <v>0</v>
      </c>
      <c r="G35" s="65" t="s">
        <v>56</v>
      </c>
      <c r="H35" s="65" t="s">
        <v>56</v>
      </c>
      <c r="I35" s="64">
        <f>F35</f>
        <v>0</v>
      </c>
    </row>
    <row r="36" spans="1:9" ht="14.4" x14ac:dyDescent="0.3">
      <c r="A36" s="140" t="s">
        <v>174</v>
      </c>
      <c r="B36" s="141"/>
      <c r="C36" s="141"/>
      <c r="D36" s="141"/>
      <c r="E36" s="142"/>
      <c r="F36" s="66" t="s">
        <v>56</v>
      </c>
      <c r="G36" s="67" t="s">
        <v>56</v>
      </c>
      <c r="H36" s="67" t="s">
        <v>56</v>
      </c>
      <c r="I36" s="68">
        <f>SUM(I35:I35)</f>
        <v>0</v>
      </c>
    </row>
  </sheetData>
  <mergeCells count="51">
    <mergeCell ref="A1:I1"/>
    <mergeCell ref="A2:B3"/>
    <mergeCell ref="A4:B5"/>
    <mergeCell ref="A6:B7"/>
    <mergeCell ref="A8:B9"/>
    <mergeCell ref="H2:H3"/>
    <mergeCell ref="H4:H5"/>
    <mergeCell ref="H6:H7"/>
    <mergeCell ref="H8:H9"/>
    <mergeCell ref="I2:I3"/>
    <mergeCell ref="I4:I5"/>
    <mergeCell ref="I6:I7"/>
    <mergeCell ref="I8:I9"/>
    <mergeCell ref="E2:E3"/>
    <mergeCell ref="E4:E5"/>
    <mergeCell ref="E6:E7"/>
    <mergeCell ref="E8:E9"/>
    <mergeCell ref="E10:E11"/>
    <mergeCell ref="F2:G3"/>
    <mergeCell ref="F4:G5"/>
    <mergeCell ref="F6:G7"/>
    <mergeCell ref="F8:G9"/>
    <mergeCell ref="F10:G11"/>
    <mergeCell ref="C2:D3"/>
    <mergeCell ref="C4:D5"/>
    <mergeCell ref="C6:D7"/>
    <mergeCell ref="C8:D9"/>
    <mergeCell ref="C10:D11"/>
    <mergeCell ref="I10:I11"/>
    <mergeCell ref="A13:E13"/>
    <mergeCell ref="A14:E14"/>
    <mergeCell ref="A15:E15"/>
    <mergeCell ref="A16:E16"/>
    <mergeCell ref="H10:H11"/>
    <mergeCell ref="A10:B11"/>
    <mergeCell ref="A17:E17"/>
    <mergeCell ref="A18:E18"/>
    <mergeCell ref="A20:E20"/>
    <mergeCell ref="A21:E21"/>
    <mergeCell ref="A22:E22"/>
    <mergeCell ref="A23:E23"/>
    <mergeCell ref="A24:E24"/>
    <mergeCell ref="A25:E25"/>
    <mergeCell ref="A26:E26"/>
    <mergeCell ref="A27:E27"/>
    <mergeCell ref="A36:E36"/>
    <mergeCell ref="A29:E29"/>
    <mergeCell ref="F29:I29"/>
    <mergeCell ref="A33:E33"/>
    <mergeCell ref="A34:E34"/>
    <mergeCell ref="A35:E35"/>
  </mergeCells>
  <pageMargins left="0.393999993801117" right="0.393999993801117" top="0.59100002050399802" bottom="0.59100002050399802" header="0" footer="0"/>
  <pageSetup fitToHeight="0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Stavební rozpočet</vt:lpstr>
      <vt:lpstr>Krycí list rozpočtu</vt:lpstr>
      <vt:lpstr>VORN</vt:lpstr>
      <vt:lpstr>vorn_sum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SRŠ Vodňany</cp:lastModifiedBy>
  <dcterms:created xsi:type="dcterms:W3CDTF">2021-06-10T20:06:38Z</dcterms:created>
  <dcterms:modified xsi:type="dcterms:W3CDTF">2025-12-08T13:41:47Z</dcterms:modified>
</cp:coreProperties>
</file>